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3"/>
  <workbookPr defaultThemeVersion="166925"/>
  <mc:AlternateContent xmlns:mc="http://schemas.openxmlformats.org/markup-compatibility/2006">
    <mc:Choice Requires="x15">
      <x15ac:absPath xmlns:x15ac="http://schemas.microsoft.com/office/spreadsheetml/2010/11/ac" url="https://sg365-my.sharepoint.com/personal/jan-philipp_bartel_saargummi_com/Documents/Studium Master HTW/Semester 1 (Wi 19.20)/Wirtschaftlichkeitsanalysen/Tool/"/>
    </mc:Choice>
  </mc:AlternateContent>
  <xr:revisionPtr revIDLastSave="0" documentId="8_{C0F37F4B-2D73-40D4-B05E-CD745C9DE95E}" xr6:coauthVersionLast="36" xr6:coauthVersionMax="36" xr10:uidLastSave="{00000000-0000-0000-0000-000000000000}"/>
  <bookViews>
    <workbookView xWindow="28680" yWindow="-120" windowWidth="29040" windowHeight="17640" tabRatio="774" xr2:uid="{8A1468CD-9949-429E-AD09-BF925B532887}"/>
  </bookViews>
  <sheets>
    <sheet name="1_Cockpit" sheetId="7" r:id="rId1"/>
    <sheet name="2_Windkarte" sheetId="4" r:id="rId2"/>
    <sheet name="3_Checkliste_Windmessung" sheetId="12" r:id="rId3"/>
    <sheet name="4_Windgeschwindigkeit Rotorhöhe" sheetId="13" r:id="rId4"/>
    <sheet name="5_Ertrag" sheetId="9" r:id="rId5"/>
    <sheet name="6_Wirtschaftlichkeitsrechung" sheetId="10" r:id="rId6"/>
    <sheet name="7_Erläuterungen_Hinweise" sheetId="11" r:id="rId7"/>
    <sheet name="Tabelle4" sheetId="6" state="hidden" r:id="rId8"/>
    <sheet name="Tabelle1" sheetId="1" state="hidden" r:id="rId9"/>
    <sheet name="Checkliste" sheetId="3" state="hidden" r:id="rId10"/>
    <sheet name="DropDown" sheetId="8" state="hidden" r:id="rId11"/>
    <sheet name="Tabelle3" sheetId="5" state="hidden" r:id="rId12"/>
  </sheets>
  <definedNames>
    <definedName name="Basis_der_Winddaten">DropDown!$A$18:$A$19</definedName>
    <definedName name="Daten_Kosten_der_Windkraftanlage">DropDown!$A$27:$A$28</definedName>
    <definedName name="Daten_Stromkosten_Stromverbrauch">DropDown!$A$23:$A$24</definedName>
    <definedName name="Haushaltsgröße">DropDown!$A$2:$A$4</definedName>
    <definedName name="Nennleistung">DropDown!$D$13:$D$32</definedName>
    <definedName name="Rauhigkeitslängen">DropDown!$A$32:$A$40</definedName>
    <definedName name="Strompreis">DropDown!$E$1:$G$4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4" i="7" l="1"/>
  <c r="K11" i="7"/>
  <c r="G1" i="7"/>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R69" i="10"/>
  <c r="R68" i="10"/>
  <c r="R67" i="10"/>
  <c r="R66" i="10"/>
  <c r="R65" i="10"/>
  <c r="R64" i="10"/>
  <c r="R63" i="10"/>
  <c r="R62" i="10"/>
  <c r="E24" i="7"/>
  <c r="E25" i="7"/>
  <c r="E15" i="12"/>
  <c r="K53" i="7"/>
  <c r="K54" i="7"/>
  <c r="K56" i="7"/>
  <c r="K52" i="7"/>
  <c r="K43" i="7"/>
  <c r="K44" i="7"/>
  <c r="K45" i="7"/>
  <c r="K46" i="7"/>
  <c r="K47" i="7"/>
  <c r="K48" i="7"/>
  <c r="K41" i="7"/>
  <c r="K23" i="7"/>
  <c r="C11" i="13" s="1"/>
  <c r="H9" i="9"/>
  <c r="C12" i="13"/>
  <c r="C8" i="9"/>
  <c r="H4" i="9"/>
  <c r="O62" i="12"/>
  <c r="AF19"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20" i="12"/>
  <c r="H61" i="12"/>
  <c r="O41" i="12"/>
  <c r="C39" i="9"/>
  <c r="O33" i="12"/>
  <c r="C31" i="9"/>
  <c r="O31" i="12"/>
  <c r="C29" i="9"/>
  <c r="O25" i="12"/>
  <c r="C23" i="9"/>
  <c r="O23" i="12"/>
  <c r="C21" i="9"/>
  <c r="O21" i="12"/>
  <c r="C19" i="9"/>
  <c r="R33" i="12"/>
  <c r="R41" i="12"/>
  <c r="R31" i="12"/>
  <c r="R25" i="12"/>
  <c r="R23" i="12"/>
  <c r="R21" i="12"/>
  <c r="O49" i="12"/>
  <c r="O57" i="12"/>
  <c r="O26" i="12"/>
  <c r="O34" i="12"/>
  <c r="O42" i="12"/>
  <c r="O50" i="12"/>
  <c r="O58" i="12"/>
  <c r="I61" i="12"/>
  <c r="O27" i="12"/>
  <c r="O35" i="12"/>
  <c r="O43" i="12"/>
  <c r="O51" i="12"/>
  <c r="O59" i="12"/>
  <c r="G61" i="12"/>
  <c r="C61" i="12"/>
  <c r="O28" i="12"/>
  <c r="O36" i="12"/>
  <c r="O44" i="12"/>
  <c r="O52" i="12"/>
  <c r="O60" i="12"/>
  <c r="F61" i="12"/>
  <c r="D61" i="12"/>
  <c r="E61" i="12"/>
  <c r="O22" i="12"/>
  <c r="O30" i="12"/>
  <c r="O38" i="12"/>
  <c r="O46" i="12"/>
  <c r="O54" i="12"/>
  <c r="O29" i="12"/>
  <c r="O37" i="12"/>
  <c r="L61" i="12"/>
  <c r="N61" i="12"/>
  <c r="O55" i="12"/>
  <c r="K61" i="12"/>
  <c r="M61" i="12"/>
  <c r="O39" i="12"/>
  <c r="O47" i="12"/>
  <c r="O24" i="12"/>
  <c r="O32" i="12"/>
  <c r="O40" i="12"/>
  <c r="O48" i="12"/>
  <c r="O56" i="12"/>
  <c r="O53" i="12"/>
  <c r="O45" i="12"/>
  <c r="J61" i="12"/>
  <c r="O20" i="12"/>
  <c r="B1" i="13"/>
  <c r="E11" i="13" s="1"/>
  <c r="C23" i="7"/>
  <c r="C9" i="13" s="1"/>
  <c r="E9" i="13"/>
  <c r="H11" i="9"/>
  <c r="H8" i="9"/>
  <c r="H7" i="9"/>
  <c r="H6" i="9"/>
  <c r="H5" i="9"/>
  <c r="C33" i="7"/>
  <c r="B3" i="9"/>
  <c r="C45" i="9"/>
  <c r="R47" i="12"/>
  <c r="C51" i="9"/>
  <c r="R53" i="12"/>
  <c r="C44" i="9"/>
  <c r="R46" i="12"/>
  <c r="C50" i="9"/>
  <c r="R52" i="12"/>
  <c r="C54" i="9"/>
  <c r="R56" i="12"/>
  <c r="C42" i="9"/>
  <c r="R44" i="12"/>
  <c r="C55" i="9"/>
  <c r="R57" i="12"/>
  <c r="C46" i="9"/>
  <c r="R48" i="12"/>
  <c r="C53" i="9"/>
  <c r="R55" i="12"/>
  <c r="C47" i="9"/>
  <c r="R49" i="12"/>
  <c r="C20" i="9"/>
  <c r="R22" i="12"/>
  <c r="C56" i="9"/>
  <c r="R58" i="12"/>
  <c r="C48" i="9"/>
  <c r="R50" i="12"/>
  <c r="C57" i="9"/>
  <c r="R59" i="12"/>
  <c r="C43" i="9"/>
  <c r="R45" i="12"/>
  <c r="C52" i="9"/>
  <c r="R54" i="12"/>
  <c r="C58" i="9"/>
  <c r="R60" i="12"/>
  <c r="C49" i="9"/>
  <c r="R51" i="12"/>
  <c r="C30" i="9"/>
  <c r="R32" i="12"/>
  <c r="C32" i="9"/>
  <c r="R34" i="12"/>
  <c r="C33" i="9"/>
  <c r="R35" i="12"/>
  <c r="C34" i="9"/>
  <c r="R36" i="12"/>
  <c r="C35" i="9"/>
  <c r="R37" i="12"/>
  <c r="C36" i="9"/>
  <c r="R38" i="12"/>
  <c r="C37" i="9"/>
  <c r="R39" i="12"/>
  <c r="C38" i="9"/>
  <c r="R40" i="12"/>
  <c r="C40" i="9"/>
  <c r="R42" i="12"/>
  <c r="C41" i="9"/>
  <c r="R43" i="12"/>
  <c r="C28" i="9"/>
  <c r="R30" i="12"/>
  <c r="C27" i="9"/>
  <c r="R29" i="12"/>
  <c r="C26" i="9"/>
  <c r="R28" i="12"/>
  <c r="C25" i="9"/>
  <c r="R27" i="12"/>
  <c r="C24" i="9"/>
  <c r="R26" i="12"/>
  <c r="C22" i="9"/>
  <c r="R24" i="12"/>
  <c r="C18" i="9"/>
  <c r="R20" i="12"/>
  <c r="O61" i="12"/>
  <c r="O63" i="12"/>
  <c r="C11" i="9"/>
  <c r="C9" i="9"/>
  <c r="C7" i="9"/>
  <c r="C6" i="9"/>
  <c r="C5" i="9"/>
  <c r="C4" i="9"/>
  <c r="H30" i="7"/>
  <c r="C10" i="9" s="1"/>
  <c r="AE23" i="12"/>
  <c r="AE29" i="12"/>
  <c r="P20" i="12"/>
  <c r="Q20" i="12"/>
  <c r="AE27" i="12"/>
  <c r="AE35" i="12"/>
  <c r="AE43" i="12"/>
  <c r="AE21" i="12"/>
  <c r="AE37" i="12"/>
  <c r="AE22" i="12"/>
  <c r="AE38" i="12"/>
  <c r="AE31" i="12"/>
  <c r="AE40" i="12"/>
  <c r="AE25" i="12"/>
  <c r="AE41" i="12"/>
  <c r="AE26" i="12"/>
  <c r="AE42" i="12"/>
  <c r="AE28" i="12"/>
  <c r="AE36" i="12"/>
  <c r="AE20" i="12"/>
  <c r="AE30" i="12"/>
  <c r="AE39" i="12"/>
  <c r="AE24" i="12"/>
  <c r="AE32" i="12"/>
  <c r="AE33" i="12"/>
  <c r="AE34" i="12"/>
  <c r="P22" i="12"/>
  <c r="P40" i="12"/>
  <c r="P49" i="12"/>
  <c r="P42" i="12"/>
  <c r="P36" i="12"/>
  <c r="P52" i="12"/>
  <c r="P39" i="12"/>
  <c r="P21" i="12"/>
  <c r="P25" i="12"/>
  <c r="P51" i="12"/>
  <c r="P38" i="12"/>
  <c r="P32" i="12"/>
  <c r="P55" i="12"/>
  <c r="P46" i="12"/>
  <c r="P48" i="12"/>
  <c r="P57" i="12"/>
  <c r="P50" i="12"/>
  <c r="P44" i="12"/>
  <c r="P23" i="12"/>
  <c r="P56" i="12"/>
  <c r="P54" i="12"/>
  <c r="P27" i="12"/>
  <c r="P45" i="12"/>
  <c r="P43" i="12"/>
  <c r="P30" i="12"/>
  <c r="P33" i="12"/>
  <c r="P41" i="12"/>
  <c r="P31" i="12"/>
  <c r="P53" i="12"/>
  <c r="P26" i="12"/>
  <c r="P35" i="12"/>
  <c r="P60" i="12"/>
  <c r="P58" i="12"/>
  <c r="P47" i="12"/>
  <c r="P37" i="12"/>
  <c r="P29" i="12"/>
  <c r="P34" i="12"/>
  <c r="P24" i="12"/>
  <c r="P59" i="12"/>
  <c r="P28" i="12"/>
  <c r="E9" i="10"/>
  <c r="P94" i="10" s="1"/>
  <c r="C14" i="7"/>
  <c r="D48" i="9"/>
  <c r="Q50" i="12"/>
  <c r="D23" i="9"/>
  <c r="Q25" i="12"/>
  <c r="D26" i="9"/>
  <c r="Q28" i="12"/>
  <c r="D41" i="9"/>
  <c r="Q43" i="12"/>
  <c r="D19" i="9"/>
  <c r="Q21" i="12"/>
  <c r="D57" i="9"/>
  <c r="Q59" i="12"/>
  <c r="D33" i="9"/>
  <c r="Q35" i="12"/>
  <c r="D43" i="9"/>
  <c r="Q45" i="12"/>
  <c r="D46" i="9"/>
  <c r="Q48" i="12"/>
  <c r="D37" i="9"/>
  <c r="Q39" i="12"/>
  <c r="D22" i="9"/>
  <c r="Q24" i="12"/>
  <c r="D24" i="9"/>
  <c r="Q26" i="12"/>
  <c r="D25" i="9"/>
  <c r="Q27" i="12"/>
  <c r="D44" i="9"/>
  <c r="Q46" i="12"/>
  <c r="D50" i="9"/>
  <c r="Q52" i="12"/>
  <c r="D56" i="9"/>
  <c r="Q58" i="12"/>
  <c r="D58" i="9"/>
  <c r="Q60" i="12"/>
  <c r="D55" i="9"/>
  <c r="Q57" i="12"/>
  <c r="D32" i="9"/>
  <c r="Q34" i="12"/>
  <c r="D51" i="9"/>
  <c r="Q53" i="12"/>
  <c r="D52" i="9"/>
  <c r="Q54" i="12"/>
  <c r="D53" i="9"/>
  <c r="Q55" i="12"/>
  <c r="D34" i="9"/>
  <c r="Q36" i="12"/>
  <c r="D27" i="9"/>
  <c r="Q29" i="12"/>
  <c r="D29" i="9"/>
  <c r="Q31" i="12"/>
  <c r="D54" i="9"/>
  <c r="Q56" i="12"/>
  <c r="D30" i="9"/>
  <c r="Q32" i="12"/>
  <c r="D40" i="9"/>
  <c r="Q42" i="12"/>
  <c r="D28" i="9"/>
  <c r="Q30" i="12"/>
  <c r="D20" i="9"/>
  <c r="Q22" i="12"/>
  <c r="D35" i="9"/>
  <c r="Q37" i="12"/>
  <c r="D39" i="9"/>
  <c r="Q41" i="12"/>
  <c r="D21" i="9"/>
  <c r="Q23" i="12"/>
  <c r="D36" i="9"/>
  <c r="Q38" i="12"/>
  <c r="D47" i="9"/>
  <c r="Q49" i="12"/>
  <c r="D45" i="9"/>
  <c r="Q47" i="12"/>
  <c r="D31" i="9"/>
  <c r="Q33" i="12"/>
  <c r="D42" i="9"/>
  <c r="Q44" i="12"/>
  <c r="D49" i="9"/>
  <c r="Q51" i="12"/>
  <c r="D38" i="9"/>
  <c r="Q40" i="12"/>
  <c r="D18" i="9"/>
  <c r="P61" i="12"/>
  <c r="B7" i="10"/>
  <c r="D65" i="9"/>
  <c r="S20" i="12"/>
  <c r="C24" i="7"/>
  <c r="D52" i="10"/>
  <c r="I65" i="9"/>
  <c r="H65" i="9"/>
  <c r="G65" i="9"/>
  <c r="C6" i="13"/>
  <c r="E6" i="10"/>
  <c r="C55" i="7"/>
  <c r="B9" i="10"/>
  <c r="B6" i="10"/>
  <c r="B4" i="10"/>
  <c r="B46" i="10" s="1"/>
  <c r="C49" i="7"/>
  <c r="E8" i="10"/>
  <c r="H12" i="7"/>
  <c r="H42" i="7"/>
  <c r="H55" i="7" s="1"/>
  <c r="B8" i="10" s="1"/>
  <c r="H49" i="7"/>
  <c r="C63" i="7" s="1"/>
  <c r="C65" i="7" s="1"/>
  <c r="H37" i="10"/>
  <c r="H13" i="7"/>
  <c r="H14" i="7" s="1"/>
  <c r="K14" i="7" s="1"/>
  <c r="B13" i="6"/>
  <c r="B16" i="6"/>
  <c r="L39" i="10"/>
  <c r="C7" i="13"/>
  <c r="H107" i="9" l="1"/>
  <c r="H45" i="10"/>
  <c r="D45" i="10"/>
  <c r="L52" i="10"/>
  <c r="H53" i="10"/>
  <c r="B27" i="10"/>
  <c r="B41" i="10"/>
  <c r="B39" i="10"/>
  <c r="B29" i="10"/>
  <c r="B23" i="10"/>
  <c r="B42" i="10"/>
  <c r="B17" i="10"/>
  <c r="B16" i="10"/>
  <c r="B47" i="10"/>
  <c r="B19" i="10"/>
  <c r="B21" i="10"/>
  <c r="B25" i="10"/>
  <c r="B34" i="10"/>
  <c r="B44" i="10"/>
  <c r="B38" i="10"/>
  <c r="B48" i="10"/>
  <c r="B33" i="10"/>
  <c r="B20" i="10"/>
  <c r="B26" i="10"/>
  <c r="B40" i="10"/>
  <c r="B30" i="10"/>
  <c r="B50" i="10"/>
  <c r="B43" i="10"/>
  <c r="B32" i="10"/>
  <c r="B22" i="10"/>
  <c r="B53" i="10"/>
  <c r="B31" i="10"/>
  <c r="B28" i="10"/>
  <c r="B49" i="10"/>
  <c r="B18" i="10"/>
  <c r="B35" i="10"/>
  <c r="B36" i="10"/>
  <c r="B24" i="10"/>
  <c r="B37" i="10"/>
  <c r="L48" i="10"/>
  <c r="K13" i="7"/>
  <c r="D108" i="9"/>
  <c r="B1" i="10"/>
  <c r="I22" i="9"/>
  <c r="J22" i="9" s="1"/>
  <c r="H10" i="9"/>
  <c r="D107" i="9"/>
  <c r="F107" i="9"/>
  <c r="S21" i="9"/>
  <c r="H69" i="9" s="1"/>
  <c r="I23" i="9"/>
  <c r="J23" i="9" s="1"/>
  <c r="H108" i="9"/>
  <c r="B51" i="10"/>
  <c r="F108" i="9"/>
  <c r="C10" i="13"/>
  <c r="C13" i="13" s="1"/>
  <c r="B1" i="9"/>
  <c r="B55" i="10"/>
  <c r="E31" i="9"/>
  <c r="F31" i="9" s="1"/>
  <c r="O45" i="9"/>
  <c r="D93" i="9" s="1"/>
  <c r="O29" i="9"/>
  <c r="Q29" i="9" s="1"/>
  <c r="O58" i="9"/>
  <c r="D106" i="9" s="1"/>
  <c r="E32" i="9"/>
  <c r="F32" i="9" s="1"/>
  <c r="O24" i="9"/>
  <c r="D72" i="9" s="1"/>
  <c r="E30" i="9"/>
  <c r="F30" i="9" s="1"/>
  <c r="E19" i="9"/>
  <c r="G19" i="9" s="1"/>
  <c r="H19" i="9" s="1"/>
  <c r="E27" i="9"/>
  <c r="G27" i="9" s="1"/>
  <c r="E29" i="9"/>
  <c r="F29" i="9" s="1"/>
  <c r="O23" i="9"/>
  <c r="D71" i="9" s="1"/>
  <c r="E42" i="9"/>
  <c r="G42" i="9" s="1"/>
  <c r="E26" i="9"/>
  <c r="F26" i="9" s="1"/>
  <c r="E41" i="9"/>
  <c r="F41" i="9" s="1"/>
  <c r="E51" i="9"/>
  <c r="F51" i="9" s="1"/>
  <c r="O52" i="9"/>
  <c r="D100" i="9" s="1"/>
  <c r="E28" i="9"/>
  <c r="O43" i="9"/>
  <c r="D91" i="9" s="1"/>
  <c r="E21" i="9"/>
  <c r="F21" i="9" s="1"/>
  <c r="O35" i="9"/>
  <c r="D83" i="9" s="1"/>
  <c r="O50" i="9"/>
  <c r="Q50" i="9" s="1"/>
  <c r="S50" i="9" s="1"/>
  <c r="H98" i="9" s="1"/>
  <c r="E55" i="9"/>
  <c r="F55" i="9" s="1"/>
  <c r="O46" i="9"/>
  <c r="D94" i="9" s="1"/>
  <c r="E56" i="9"/>
  <c r="F56" i="9" s="1"/>
  <c r="E25" i="9"/>
  <c r="F25" i="9" s="1"/>
  <c r="O20" i="9"/>
  <c r="Q20" i="9" s="1"/>
  <c r="F68" i="9" s="1"/>
  <c r="E47" i="9"/>
  <c r="F47" i="9" s="1"/>
  <c r="E44" i="9"/>
  <c r="G44" i="9" s="1"/>
  <c r="O19" i="9"/>
  <c r="D67" i="9" s="1"/>
  <c r="E36" i="9"/>
  <c r="F36" i="9" s="1"/>
  <c r="L44" i="10"/>
  <c r="I19" i="9"/>
  <c r="J19" i="9" s="1"/>
  <c r="L41" i="10"/>
  <c r="I20" i="9"/>
  <c r="J20" i="9" s="1"/>
  <c r="S19" i="9"/>
  <c r="H67" i="9" s="1"/>
  <c r="S22" i="9"/>
  <c r="H70" i="9" s="1"/>
  <c r="L37" i="10"/>
  <c r="L43" i="10"/>
  <c r="H54" i="10"/>
  <c r="H46" i="10"/>
  <c r="H38" i="10"/>
  <c r="D39" i="10"/>
  <c r="L51" i="10"/>
  <c r="D53" i="10"/>
  <c r="P101" i="10"/>
  <c r="P89" i="10"/>
  <c r="P88" i="10"/>
  <c r="I21" i="9"/>
  <c r="J21" i="9" s="1"/>
  <c r="I18" i="9"/>
  <c r="J18" i="9" s="1"/>
  <c r="L38" i="10"/>
  <c r="H52" i="10"/>
  <c r="H44" i="10"/>
  <c r="H36" i="10"/>
  <c r="D43" i="10"/>
  <c r="B54" i="10"/>
  <c r="L53" i="10"/>
  <c r="L49" i="10"/>
  <c r="D55" i="10"/>
  <c r="P96" i="10"/>
  <c r="P84" i="10"/>
  <c r="L36" i="10"/>
  <c r="E5" i="10"/>
  <c r="B62" i="10" s="1"/>
  <c r="H51" i="10"/>
  <c r="H43" i="10"/>
  <c r="D40" i="10"/>
  <c r="D44" i="10"/>
  <c r="B52" i="10"/>
  <c r="L46" i="10"/>
  <c r="D49" i="10"/>
  <c r="D51" i="10"/>
  <c r="P82" i="10"/>
  <c r="P83" i="10"/>
  <c r="P92" i="10"/>
  <c r="P97" i="10"/>
  <c r="S23" i="9"/>
  <c r="H71" i="9" s="1"/>
  <c r="S18" i="9"/>
  <c r="H66" i="9" s="1"/>
  <c r="S20" i="9"/>
  <c r="H68" i="9" s="1"/>
  <c r="L45" i="10"/>
  <c r="H50" i="10"/>
  <c r="H42" i="10"/>
  <c r="D42" i="10"/>
  <c r="D37" i="10"/>
  <c r="L54" i="10"/>
  <c r="D48" i="10"/>
  <c r="D50" i="10"/>
  <c r="P90" i="10"/>
  <c r="P91" i="10"/>
  <c r="P100" i="10"/>
  <c r="L47" i="10"/>
  <c r="D47" i="10"/>
  <c r="P98" i="10"/>
  <c r="P99" i="10"/>
  <c r="P87" i="10"/>
  <c r="H41" i="10"/>
  <c r="H48" i="10"/>
  <c r="H40" i="10"/>
  <c r="D36" i="10"/>
  <c r="H16" i="10"/>
  <c r="I16" i="10" s="1"/>
  <c r="L55" i="10"/>
  <c r="D54" i="10"/>
  <c r="P85" i="10"/>
  <c r="P86" i="10"/>
  <c r="P95" i="10"/>
  <c r="H49" i="10"/>
  <c r="D41" i="10"/>
  <c r="L40" i="10"/>
  <c r="L42" i="10"/>
  <c r="H55" i="10"/>
  <c r="H47" i="10"/>
  <c r="H39" i="10"/>
  <c r="D38" i="10"/>
  <c r="L50" i="10"/>
  <c r="D46" i="10"/>
  <c r="P93" i="10"/>
  <c r="E35" i="9"/>
  <c r="E34" i="9"/>
  <c r="O56" i="9"/>
  <c r="E58" i="9"/>
  <c r="E43" i="9"/>
  <c r="O28" i="9"/>
  <c r="O26" i="9"/>
  <c r="E50" i="9"/>
  <c r="E39" i="9"/>
  <c r="O25" i="9"/>
  <c r="E57" i="9"/>
  <c r="O51" i="9"/>
  <c r="O34" i="9"/>
  <c r="O42" i="9"/>
  <c r="O22" i="9"/>
  <c r="O57" i="9"/>
  <c r="E18" i="9"/>
  <c r="E54" i="9"/>
  <c r="O33" i="9"/>
  <c r="E48" i="9"/>
  <c r="O40" i="9"/>
  <c r="O32" i="9"/>
  <c r="O31" i="9"/>
  <c r="O36" i="9"/>
  <c r="E24" i="9"/>
  <c r="O53" i="9"/>
  <c r="O41" i="9"/>
  <c r="E40" i="9"/>
  <c r="E22" i="9"/>
  <c r="O47" i="9"/>
  <c r="O44" i="9"/>
  <c r="E20" i="9"/>
  <c r="O48" i="9"/>
  <c r="O55" i="9"/>
  <c r="O30" i="9"/>
  <c r="E52" i="9"/>
  <c r="O39" i="9"/>
  <c r="O49" i="9"/>
  <c r="O21" i="9"/>
  <c r="E38" i="9"/>
  <c r="E46" i="9"/>
  <c r="O54" i="9"/>
  <c r="E53" i="9"/>
  <c r="E49" i="9"/>
  <c r="E23" i="9"/>
  <c r="O38" i="9"/>
  <c r="E33" i="9"/>
  <c r="O37" i="9"/>
  <c r="E45" i="9"/>
  <c r="O27" i="9"/>
  <c r="E37" i="9"/>
  <c r="O18" i="9"/>
  <c r="C73" i="7"/>
  <c r="E10" i="10" s="1"/>
  <c r="K12" i="7"/>
  <c r="B15" i="10"/>
  <c r="G15" i="10" s="1"/>
  <c r="B45" i="10"/>
  <c r="K42" i="7"/>
  <c r="B5" i="10"/>
  <c r="D26" i="10" s="1"/>
  <c r="C66" i="7"/>
  <c r="Q43" i="9" l="1"/>
  <c r="S43" i="9" s="1"/>
  <c r="H91" i="9" s="1"/>
  <c r="G55" i="9"/>
  <c r="H55" i="9" s="1"/>
  <c r="G36" i="9"/>
  <c r="I36" i="9" s="1"/>
  <c r="J36" i="9" s="1"/>
  <c r="K36" i="10"/>
  <c r="Q19" i="9"/>
  <c r="F67" i="9" s="1"/>
  <c r="H17" i="10"/>
  <c r="I17" i="10" s="1"/>
  <c r="D68" i="9"/>
  <c r="Q45" i="9"/>
  <c r="S45" i="9" s="1"/>
  <c r="H93" i="9" s="1"/>
  <c r="G41" i="9"/>
  <c r="H41" i="9" s="1"/>
  <c r="G31" i="9"/>
  <c r="I31" i="9" s="1"/>
  <c r="J31" i="9" s="1"/>
  <c r="D77" i="9"/>
  <c r="G21" i="9"/>
  <c r="H21" i="9" s="1"/>
  <c r="G25" i="9"/>
  <c r="H25" i="9" s="1"/>
  <c r="G29" i="9"/>
  <c r="H29" i="9" s="1"/>
  <c r="F27" i="9"/>
  <c r="K43" i="10"/>
  <c r="D98" i="9"/>
  <c r="Q24" i="9"/>
  <c r="S24" i="9" s="1"/>
  <c r="H72" i="9" s="1"/>
  <c r="F44" i="9"/>
  <c r="Q23" i="9"/>
  <c r="F71" i="9" s="1"/>
  <c r="Q58" i="9"/>
  <c r="S58" i="9" s="1"/>
  <c r="H106" i="9" s="1"/>
  <c r="G47" i="9"/>
  <c r="I47" i="9" s="1"/>
  <c r="J47" i="9" s="1"/>
  <c r="F19" i="9"/>
  <c r="K42" i="10"/>
  <c r="K40" i="10"/>
  <c r="Q35" i="9"/>
  <c r="S35" i="9" s="1"/>
  <c r="H83" i="9" s="1"/>
  <c r="K54" i="10"/>
  <c r="K46" i="10"/>
  <c r="K55" i="10"/>
  <c r="Q46" i="9"/>
  <c r="F94" i="9" s="1"/>
  <c r="G30" i="9"/>
  <c r="K47" i="10"/>
  <c r="K51" i="10"/>
  <c r="F42" i="9"/>
  <c r="K37" i="10"/>
  <c r="G51" i="9"/>
  <c r="I51" i="9" s="1"/>
  <c r="J51" i="9" s="1"/>
  <c r="G26" i="9"/>
  <c r="I26" i="9" s="1"/>
  <c r="J26" i="9" s="1"/>
  <c r="K38" i="10"/>
  <c r="F98" i="9"/>
  <c r="G56" i="9"/>
  <c r="I56" i="9" s="1"/>
  <c r="J56" i="9" s="1"/>
  <c r="G32" i="9"/>
  <c r="H32" i="9" s="1"/>
  <c r="K52" i="10"/>
  <c r="Q52" i="9"/>
  <c r="F100" i="9" s="1"/>
  <c r="C26" i="7"/>
  <c r="C35" i="7" s="1"/>
  <c r="H12" i="9" s="1"/>
  <c r="H3" i="9"/>
  <c r="F28" i="9"/>
  <c r="G28" i="9"/>
  <c r="F53" i="9"/>
  <c r="G53" i="9"/>
  <c r="G57" i="9"/>
  <c r="F57" i="9"/>
  <c r="D103" i="9"/>
  <c r="Q55" i="9"/>
  <c r="F54" i="9"/>
  <c r="G54" i="9"/>
  <c r="F34" i="9"/>
  <c r="G34" i="9"/>
  <c r="G45" i="9"/>
  <c r="F45" i="9"/>
  <c r="G46" i="9"/>
  <c r="F46" i="9"/>
  <c r="Q48" i="9"/>
  <c r="D96" i="9"/>
  <c r="G24" i="9"/>
  <c r="F24" i="9"/>
  <c r="G18" i="9"/>
  <c r="H18" i="9" s="1"/>
  <c r="F18" i="9"/>
  <c r="F39" i="9"/>
  <c r="G39" i="9"/>
  <c r="G35" i="9"/>
  <c r="F35" i="9"/>
  <c r="S29" i="9"/>
  <c r="H77" i="9" s="1"/>
  <c r="F77" i="9"/>
  <c r="P62" i="10"/>
  <c r="C62" i="10"/>
  <c r="D62" i="10" s="1"/>
  <c r="B63" i="10"/>
  <c r="Q37" i="9"/>
  <c r="D85" i="9"/>
  <c r="G38" i="9"/>
  <c r="F38" i="9"/>
  <c r="G20" i="9"/>
  <c r="H20" i="9" s="1"/>
  <c r="F20" i="9"/>
  <c r="Q36" i="9"/>
  <c r="D84" i="9"/>
  <c r="Q57" i="9"/>
  <c r="D105" i="9"/>
  <c r="F50" i="9"/>
  <c r="G50" i="9"/>
  <c r="K48" i="10"/>
  <c r="K50" i="10"/>
  <c r="I27" i="9"/>
  <c r="J27" i="9" s="1"/>
  <c r="H27" i="9"/>
  <c r="Q41" i="9"/>
  <c r="D89" i="9"/>
  <c r="D102" i="9"/>
  <c r="Q54" i="9"/>
  <c r="G33" i="9"/>
  <c r="F33" i="9"/>
  <c r="Q22" i="9"/>
  <c r="F70" i="9" s="1"/>
  <c r="D70" i="9"/>
  <c r="H44" i="9"/>
  <c r="I44" i="9"/>
  <c r="J44" i="9" s="1"/>
  <c r="Q38" i="9"/>
  <c r="D86" i="9"/>
  <c r="D97" i="9"/>
  <c r="Q49" i="9"/>
  <c r="D95" i="9"/>
  <c r="Q47" i="9"/>
  <c r="D80" i="9"/>
  <c r="Q32" i="9"/>
  <c r="Q42" i="9"/>
  <c r="D90" i="9"/>
  <c r="D76" i="9"/>
  <c r="Q28" i="9"/>
  <c r="K44" i="10"/>
  <c r="G37" i="9"/>
  <c r="F37" i="9"/>
  <c r="D81" i="9"/>
  <c r="Q33" i="9"/>
  <c r="Q56" i="9"/>
  <c r="D104" i="9"/>
  <c r="H31" i="9"/>
  <c r="Q44" i="9"/>
  <c r="D92" i="9"/>
  <c r="D82" i="9"/>
  <c r="Q34" i="9"/>
  <c r="Q30" i="9"/>
  <c r="D78" i="9"/>
  <c r="D75" i="9"/>
  <c r="Q27" i="9"/>
  <c r="D101" i="9"/>
  <c r="Q53" i="9"/>
  <c r="D73" i="9"/>
  <c r="Q25" i="9"/>
  <c r="Q21" i="9"/>
  <c r="F69" i="9" s="1"/>
  <c r="D69" i="9"/>
  <c r="Q31" i="9"/>
  <c r="D79" i="9"/>
  <c r="Q26" i="9"/>
  <c r="D74" i="9"/>
  <c r="F23" i="9"/>
  <c r="G23" i="9"/>
  <c r="H23" i="9" s="1"/>
  <c r="D87" i="9"/>
  <c r="Q39" i="9"/>
  <c r="G22" i="9"/>
  <c r="H22" i="9" s="1"/>
  <c r="F22" i="9"/>
  <c r="Q40" i="9"/>
  <c r="D88" i="9"/>
  <c r="G43" i="9"/>
  <c r="F43" i="9"/>
  <c r="K45" i="10"/>
  <c r="K49" i="10"/>
  <c r="D66" i="9"/>
  <c r="Q18" i="9"/>
  <c r="F66" i="9" s="1"/>
  <c r="G49" i="9"/>
  <c r="F49" i="9"/>
  <c r="G52" i="9"/>
  <c r="F52" i="9"/>
  <c r="F40" i="9"/>
  <c r="G40" i="9"/>
  <c r="F48" i="9"/>
  <c r="G48" i="9"/>
  <c r="Q51" i="9"/>
  <c r="D99" i="9"/>
  <c r="G58" i="9"/>
  <c r="F58" i="9"/>
  <c r="K39" i="10"/>
  <c r="K41" i="10"/>
  <c r="K53" i="10"/>
  <c r="I42" i="9"/>
  <c r="J42" i="9" s="1"/>
  <c r="H42" i="9"/>
  <c r="D25" i="10"/>
  <c r="D34" i="10"/>
  <c r="C15" i="10"/>
  <c r="J15" i="10" s="1"/>
  <c r="D24" i="10"/>
  <c r="D31" i="10"/>
  <c r="D28" i="10"/>
  <c r="D30" i="10"/>
  <c r="D33" i="10"/>
  <c r="D27" i="10"/>
  <c r="D17" i="10"/>
  <c r="D16" i="10"/>
  <c r="D20" i="10"/>
  <c r="D35" i="10"/>
  <c r="D32" i="10"/>
  <c r="D23" i="10"/>
  <c r="D29" i="10"/>
  <c r="D18" i="10"/>
  <c r="D21" i="10"/>
  <c r="D22" i="10"/>
  <c r="D19" i="10"/>
  <c r="H56" i="9" l="1"/>
  <c r="F93" i="9"/>
  <c r="F91" i="9"/>
  <c r="I55" i="9"/>
  <c r="J55" i="9" s="1"/>
  <c r="H36" i="9"/>
  <c r="F83" i="9"/>
  <c r="I29" i="9"/>
  <c r="J29" i="9" s="1"/>
  <c r="I41" i="9"/>
  <c r="J41" i="9" s="1"/>
  <c r="I32" i="9"/>
  <c r="J32" i="9" s="1"/>
  <c r="H18" i="10"/>
  <c r="H19" i="10" s="1"/>
  <c r="F106" i="9"/>
  <c r="I25" i="9"/>
  <c r="J25" i="9" s="1"/>
  <c r="H47" i="9"/>
  <c r="S52" i="9"/>
  <c r="H100" i="9" s="1"/>
  <c r="H51" i="9"/>
  <c r="F72" i="9"/>
  <c r="S46" i="9"/>
  <c r="H94" i="9" s="1"/>
  <c r="H26" i="9"/>
  <c r="I30" i="9"/>
  <c r="J30" i="9" s="1"/>
  <c r="H30" i="9"/>
  <c r="N55" i="9"/>
  <c r="R55" i="9" s="1"/>
  <c r="G103" i="9" s="1"/>
  <c r="N27" i="9"/>
  <c r="R27" i="9" s="1"/>
  <c r="G75" i="9" s="1"/>
  <c r="N19" i="9"/>
  <c r="N39" i="9"/>
  <c r="N42" i="9"/>
  <c r="N52" i="9"/>
  <c r="N40" i="9"/>
  <c r="R40" i="9" s="1"/>
  <c r="G88" i="9" s="1"/>
  <c r="N20" i="9"/>
  <c r="N56" i="9"/>
  <c r="N38" i="9"/>
  <c r="R38" i="9" s="1"/>
  <c r="G86" i="9" s="1"/>
  <c r="N33" i="9"/>
  <c r="R33" i="9" s="1"/>
  <c r="G81" i="9" s="1"/>
  <c r="N43" i="9"/>
  <c r="N48" i="9"/>
  <c r="N58" i="9"/>
  <c r="N50" i="9"/>
  <c r="N45" i="9"/>
  <c r="N44" i="9"/>
  <c r="N41" i="9"/>
  <c r="N30" i="9"/>
  <c r="R30" i="9" s="1"/>
  <c r="G78" i="9" s="1"/>
  <c r="N28" i="9"/>
  <c r="N24" i="9"/>
  <c r="T24" i="9" s="1"/>
  <c r="I72" i="9" s="1"/>
  <c r="N25" i="9"/>
  <c r="R25" i="9" s="1"/>
  <c r="G73" i="9" s="1"/>
  <c r="N47" i="9"/>
  <c r="N51" i="9"/>
  <c r="R51" i="9" s="1"/>
  <c r="G99" i="9" s="1"/>
  <c r="N18" i="9"/>
  <c r="R18" i="9" s="1"/>
  <c r="N35" i="9"/>
  <c r="T35" i="9" s="1"/>
  <c r="I83" i="9" s="1"/>
  <c r="N23" i="9"/>
  <c r="N34" i="9"/>
  <c r="N32" i="9"/>
  <c r="R32" i="9" s="1"/>
  <c r="G80" i="9" s="1"/>
  <c r="N36" i="9"/>
  <c r="N22" i="9"/>
  <c r="N54" i="9"/>
  <c r="N46" i="9"/>
  <c r="N31" i="9"/>
  <c r="R31" i="9" s="1"/>
  <c r="G79" i="9" s="1"/>
  <c r="N21" i="9"/>
  <c r="R21" i="9" s="1"/>
  <c r="G69" i="9" s="1"/>
  <c r="N29" i="9"/>
  <c r="N37" i="9"/>
  <c r="R37" i="9" s="1"/>
  <c r="G85" i="9" s="1"/>
  <c r="N53" i="9"/>
  <c r="R53" i="9" s="1"/>
  <c r="G101" i="9" s="1"/>
  <c r="N57" i="9"/>
  <c r="R57" i="9" s="1"/>
  <c r="G105" i="9" s="1"/>
  <c r="N49" i="9"/>
  <c r="N26" i="9"/>
  <c r="R26" i="9" s="1"/>
  <c r="G74" i="9" s="1"/>
  <c r="H28" i="9"/>
  <c r="I28" i="9"/>
  <c r="J28" i="9" s="1"/>
  <c r="F81" i="9"/>
  <c r="S33" i="9"/>
  <c r="S57" i="9"/>
  <c r="F105" i="9"/>
  <c r="F73" i="9"/>
  <c r="S25" i="9"/>
  <c r="H34" i="9"/>
  <c r="I34" i="9"/>
  <c r="J34" i="9" s="1"/>
  <c r="F75" i="9"/>
  <c r="S27" i="9"/>
  <c r="H40" i="9"/>
  <c r="I40" i="9"/>
  <c r="J40" i="9" s="1"/>
  <c r="F74" i="9"/>
  <c r="S26" i="9"/>
  <c r="F76" i="9"/>
  <c r="S28" i="9"/>
  <c r="S37" i="9"/>
  <c r="F85" i="9"/>
  <c r="I45" i="9"/>
  <c r="J45" i="9" s="1"/>
  <c r="H45" i="9"/>
  <c r="H52" i="9"/>
  <c r="I52" i="9"/>
  <c r="J52" i="9" s="1"/>
  <c r="H50" i="9"/>
  <c r="I50" i="9"/>
  <c r="J50" i="9" s="1"/>
  <c r="H24" i="9"/>
  <c r="I24" i="9"/>
  <c r="J24" i="9" s="1"/>
  <c r="F87" i="9"/>
  <c r="S39" i="9"/>
  <c r="S31" i="9"/>
  <c r="F79" i="9"/>
  <c r="F101" i="9"/>
  <c r="S53" i="9"/>
  <c r="I33" i="9"/>
  <c r="J33" i="9" s="1"/>
  <c r="H33" i="9"/>
  <c r="H57" i="9"/>
  <c r="I57" i="9"/>
  <c r="J57" i="9" s="1"/>
  <c r="P63" i="10"/>
  <c r="C63" i="10"/>
  <c r="D63" i="10" s="1"/>
  <c r="B64" i="10"/>
  <c r="S32" i="9"/>
  <c r="F80" i="9"/>
  <c r="F86" i="9"/>
  <c r="S38" i="9"/>
  <c r="S47" i="9"/>
  <c r="F95" i="9"/>
  <c r="S51" i="9"/>
  <c r="F99" i="9"/>
  <c r="H49" i="9"/>
  <c r="I49" i="9"/>
  <c r="J49" i="9" s="1"/>
  <c r="H43" i="9"/>
  <c r="I43" i="9"/>
  <c r="J43" i="9" s="1"/>
  <c r="F82" i="9"/>
  <c r="S34" i="9"/>
  <c r="S44" i="9"/>
  <c r="F92" i="9"/>
  <c r="F89" i="9"/>
  <c r="S41" i="9"/>
  <c r="I35" i="9"/>
  <c r="J35" i="9" s="1"/>
  <c r="H35" i="9"/>
  <c r="I54" i="9"/>
  <c r="J54" i="9" s="1"/>
  <c r="H54" i="9"/>
  <c r="H53" i="9"/>
  <c r="I53" i="9"/>
  <c r="J53" i="9" s="1"/>
  <c r="S40" i="9"/>
  <c r="F88" i="9"/>
  <c r="F59" i="9"/>
  <c r="F60" i="9" s="1"/>
  <c r="H46" i="9"/>
  <c r="I46" i="9"/>
  <c r="J46" i="9" s="1"/>
  <c r="F103" i="9"/>
  <c r="S55" i="9"/>
  <c r="H58" i="9"/>
  <c r="I58" i="9"/>
  <c r="J58" i="9" s="1"/>
  <c r="S36" i="9"/>
  <c r="F84" i="9"/>
  <c r="F78" i="9"/>
  <c r="S30" i="9"/>
  <c r="H37" i="9"/>
  <c r="I37" i="9"/>
  <c r="J37" i="9" s="1"/>
  <c r="H48" i="9"/>
  <c r="I48" i="9"/>
  <c r="J48" i="9" s="1"/>
  <c r="F104" i="9"/>
  <c r="S56" i="9"/>
  <c r="S42" i="9"/>
  <c r="F90" i="9"/>
  <c r="S49" i="9"/>
  <c r="F97" i="9"/>
  <c r="F102" i="9"/>
  <c r="S54" i="9"/>
  <c r="H38" i="9"/>
  <c r="I38" i="9"/>
  <c r="J38" i="9" s="1"/>
  <c r="I39" i="9"/>
  <c r="J39" i="9" s="1"/>
  <c r="H39" i="9"/>
  <c r="S48" i="9"/>
  <c r="F96" i="9"/>
  <c r="E16" i="10"/>
  <c r="I18" i="10"/>
  <c r="F16" i="10"/>
  <c r="R49" i="9" l="1"/>
  <c r="G97" i="9" s="1"/>
  <c r="P49" i="9"/>
  <c r="E97" i="9" s="1"/>
  <c r="C97" i="9"/>
  <c r="P51" i="9"/>
  <c r="E99" i="9" s="1"/>
  <c r="C99" i="9"/>
  <c r="R45" i="9"/>
  <c r="G93" i="9" s="1"/>
  <c r="T45" i="9"/>
  <c r="I93" i="9" s="1"/>
  <c r="C93" i="9"/>
  <c r="P45" i="9"/>
  <c r="E93" i="9" s="1"/>
  <c r="C68" i="9"/>
  <c r="P20" i="9"/>
  <c r="E68" i="9" s="1"/>
  <c r="R20" i="9"/>
  <c r="G68" i="9" s="1"/>
  <c r="T20" i="9"/>
  <c r="I68" i="9" s="1"/>
  <c r="C105" i="9"/>
  <c r="P57" i="9"/>
  <c r="E105" i="9" s="1"/>
  <c r="P22" i="9"/>
  <c r="E70" i="9" s="1"/>
  <c r="T22" i="9"/>
  <c r="I70" i="9" s="1"/>
  <c r="C70" i="9"/>
  <c r="R22" i="9"/>
  <c r="G70" i="9" s="1"/>
  <c r="P47" i="9"/>
  <c r="E95" i="9" s="1"/>
  <c r="C95" i="9"/>
  <c r="R47" i="9"/>
  <c r="G95" i="9" s="1"/>
  <c r="P50" i="9"/>
  <c r="E98" i="9" s="1"/>
  <c r="T50" i="9"/>
  <c r="I98" i="9" s="1"/>
  <c r="C98" i="9"/>
  <c r="R50" i="9"/>
  <c r="G98" i="9" s="1"/>
  <c r="C88" i="9"/>
  <c r="P40" i="9"/>
  <c r="E88" i="9" s="1"/>
  <c r="R54" i="9"/>
  <c r="G102" i="9" s="1"/>
  <c r="P54" i="9"/>
  <c r="E102" i="9" s="1"/>
  <c r="C102" i="9"/>
  <c r="H59" i="9"/>
  <c r="H60" i="9" s="1"/>
  <c r="C101" i="9"/>
  <c r="P53" i="9"/>
  <c r="E101" i="9" s="1"/>
  <c r="P36" i="9"/>
  <c r="E84" i="9" s="1"/>
  <c r="C84" i="9"/>
  <c r="C73" i="9"/>
  <c r="P25" i="9"/>
  <c r="E73" i="9" s="1"/>
  <c r="P58" i="9"/>
  <c r="E106" i="9" s="1"/>
  <c r="R58" i="9"/>
  <c r="G106" i="9" s="1"/>
  <c r="C106" i="9"/>
  <c r="T58" i="9"/>
  <c r="I106" i="9" s="1"/>
  <c r="C100" i="9"/>
  <c r="R52" i="9"/>
  <c r="G100" i="9" s="1"/>
  <c r="T52" i="9"/>
  <c r="I100" i="9" s="1"/>
  <c r="P52" i="9"/>
  <c r="E100" i="9" s="1"/>
  <c r="C85" i="9"/>
  <c r="P37" i="9"/>
  <c r="E85" i="9" s="1"/>
  <c r="C80" i="9"/>
  <c r="P32" i="9"/>
  <c r="E80" i="9" s="1"/>
  <c r="R24" i="9"/>
  <c r="G72" i="9" s="1"/>
  <c r="C72" i="9"/>
  <c r="P24" i="9"/>
  <c r="E72" i="9" s="1"/>
  <c r="P48" i="9"/>
  <c r="E96" i="9" s="1"/>
  <c r="C96" i="9"/>
  <c r="R48" i="9"/>
  <c r="G96" i="9" s="1"/>
  <c r="R42" i="9"/>
  <c r="G90" i="9" s="1"/>
  <c r="C90" i="9"/>
  <c r="P42" i="9"/>
  <c r="E90" i="9" s="1"/>
  <c r="P29" i="9"/>
  <c r="E77" i="9" s="1"/>
  <c r="C77" i="9"/>
  <c r="R29" i="9"/>
  <c r="G77" i="9" s="1"/>
  <c r="T29" i="9"/>
  <c r="I77" i="9" s="1"/>
  <c r="R34" i="9"/>
  <c r="G82" i="9" s="1"/>
  <c r="C82" i="9"/>
  <c r="P34" i="9"/>
  <c r="E82" i="9" s="1"/>
  <c r="P28" i="9"/>
  <c r="E76" i="9" s="1"/>
  <c r="C76" i="9"/>
  <c r="C91" i="9"/>
  <c r="R43" i="9"/>
  <c r="G91" i="9" s="1"/>
  <c r="T43" i="9"/>
  <c r="I91" i="9" s="1"/>
  <c r="P43" i="9"/>
  <c r="E91" i="9" s="1"/>
  <c r="C87" i="9"/>
  <c r="P39" i="9"/>
  <c r="E87" i="9" s="1"/>
  <c r="R39" i="9"/>
  <c r="G87" i="9" s="1"/>
  <c r="R28" i="9"/>
  <c r="G76" i="9" s="1"/>
  <c r="R36" i="9"/>
  <c r="G84" i="9" s="1"/>
  <c r="C69" i="9"/>
  <c r="P21" i="9"/>
  <c r="E69" i="9" s="1"/>
  <c r="T21" i="9"/>
  <c r="I69" i="9" s="1"/>
  <c r="R23" i="9"/>
  <c r="G71" i="9" s="1"/>
  <c r="T23" i="9"/>
  <c r="I71" i="9" s="1"/>
  <c r="P23" i="9"/>
  <c r="E71" i="9" s="1"/>
  <c r="C71" i="9"/>
  <c r="P30" i="9"/>
  <c r="E78" i="9" s="1"/>
  <c r="C78" i="9"/>
  <c r="C81" i="9"/>
  <c r="P33" i="9"/>
  <c r="E81" i="9" s="1"/>
  <c r="P19" i="9"/>
  <c r="E67" i="9" s="1"/>
  <c r="T19" i="9"/>
  <c r="I67" i="9" s="1"/>
  <c r="C67" i="9"/>
  <c r="R19" i="9"/>
  <c r="G67" i="9" s="1"/>
  <c r="C79" i="9"/>
  <c r="P31" i="9"/>
  <c r="E79" i="9" s="1"/>
  <c r="P35" i="9"/>
  <c r="E83" i="9" s="1"/>
  <c r="C83" i="9"/>
  <c r="R35" i="9"/>
  <c r="G83" i="9" s="1"/>
  <c r="R41" i="9"/>
  <c r="G89" i="9" s="1"/>
  <c r="C89" i="9"/>
  <c r="P41" i="9"/>
  <c r="E89" i="9" s="1"/>
  <c r="C86" i="9"/>
  <c r="P38" i="9"/>
  <c r="E86" i="9" s="1"/>
  <c r="C75" i="9"/>
  <c r="P27" i="9"/>
  <c r="E75" i="9" s="1"/>
  <c r="C74" i="9"/>
  <c r="P26" i="9"/>
  <c r="E74" i="9" s="1"/>
  <c r="T46" i="9"/>
  <c r="I94" i="9" s="1"/>
  <c r="R46" i="9"/>
  <c r="G94" i="9" s="1"/>
  <c r="P46" i="9"/>
  <c r="E94" i="9" s="1"/>
  <c r="C94" i="9"/>
  <c r="T18" i="9"/>
  <c r="I66" i="9" s="1"/>
  <c r="P18" i="9"/>
  <c r="C66" i="9"/>
  <c r="C92" i="9"/>
  <c r="R44" i="9"/>
  <c r="G92" i="9" s="1"/>
  <c r="P44" i="9"/>
  <c r="E92" i="9" s="1"/>
  <c r="R56" i="9"/>
  <c r="G104" i="9" s="1"/>
  <c r="P56" i="9"/>
  <c r="E104" i="9" s="1"/>
  <c r="C104" i="9"/>
  <c r="C103" i="9"/>
  <c r="P55" i="9"/>
  <c r="E103" i="9" s="1"/>
  <c r="H73" i="9"/>
  <c r="T25" i="9"/>
  <c r="H104" i="9"/>
  <c r="T56" i="9"/>
  <c r="I104" i="9" s="1"/>
  <c r="H88" i="9"/>
  <c r="T40" i="9"/>
  <c r="I88" i="9" s="1"/>
  <c r="H89" i="9"/>
  <c r="T41" i="9"/>
  <c r="I89" i="9" s="1"/>
  <c r="H86" i="9"/>
  <c r="T38" i="9"/>
  <c r="I86" i="9" s="1"/>
  <c r="H85" i="9"/>
  <c r="T37" i="9"/>
  <c r="I85" i="9" s="1"/>
  <c r="H101" i="9"/>
  <c r="T53" i="9"/>
  <c r="I101" i="9" s="1"/>
  <c r="H102" i="9"/>
  <c r="T54" i="9"/>
  <c r="I102" i="9" s="1"/>
  <c r="H79" i="9"/>
  <c r="T31" i="9"/>
  <c r="I79" i="9" s="1"/>
  <c r="H105" i="9"/>
  <c r="T57" i="9"/>
  <c r="I105" i="9" s="1"/>
  <c r="H90" i="9"/>
  <c r="T42" i="9"/>
  <c r="I90" i="9" s="1"/>
  <c r="H78" i="9"/>
  <c r="T30" i="9"/>
  <c r="I78" i="9" s="1"/>
  <c r="H76" i="9"/>
  <c r="T28" i="9"/>
  <c r="I76" i="9" s="1"/>
  <c r="H103" i="9"/>
  <c r="T55" i="9"/>
  <c r="I103" i="9" s="1"/>
  <c r="H87" i="9"/>
  <c r="T39" i="9"/>
  <c r="I87" i="9" s="1"/>
  <c r="G66" i="9"/>
  <c r="H75" i="9"/>
  <c r="T27" i="9"/>
  <c r="I75" i="9" s="1"/>
  <c r="H95" i="9"/>
  <c r="T47" i="9"/>
  <c r="I95" i="9" s="1"/>
  <c r="H96" i="9"/>
  <c r="T48" i="9"/>
  <c r="I96" i="9" s="1"/>
  <c r="H84" i="9"/>
  <c r="T36" i="9"/>
  <c r="I84" i="9" s="1"/>
  <c r="H80" i="9"/>
  <c r="T32" i="9"/>
  <c r="I80" i="9" s="1"/>
  <c r="H74" i="9"/>
  <c r="T26" i="9"/>
  <c r="I74" i="9" s="1"/>
  <c r="H81" i="9"/>
  <c r="T33" i="9"/>
  <c r="I81" i="9" s="1"/>
  <c r="H82" i="9"/>
  <c r="T34" i="9"/>
  <c r="I82" i="9" s="1"/>
  <c r="H97" i="9"/>
  <c r="T49" i="9"/>
  <c r="I97" i="9" s="1"/>
  <c r="H92" i="9"/>
  <c r="T44" i="9"/>
  <c r="I92" i="9" s="1"/>
  <c r="H99" i="9"/>
  <c r="T51" i="9"/>
  <c r="I99" i="9" s="1"/>
  <c r="C64" i="10"/>
  <c r="D64" i="10" s="1"/>
  <c r="B65" i="10"/>
  <c r="P64" i="10"/>
  <c r="J59" i="9"/>
  <c r="J60" i="9" s="1"/>
  <c r="I19" i="10"/>
  <c r="H20" i="10"/>
  <c r="G16" i="10"/>
  <c r="C16" i="10"/>
  <c r="R59" i="9" l="1"/>
  <c r="R60" i="9" s="1"/>
  <c r="G108" i="9" s="1"/>
  <c r="E66" i="9"/>
  <c r="P59" i="9"/>
  <c r="J63" i="9"/>
  <c r="J62" i="9"/>
  <c r="I73" i="9"/>
  <c r="T59" i="9"/>
  <c r="C65" i="10"/>
  <c r="D65" i="10" s="1"/>
  <c r="P65" i="10"/>
  <c r="B66" i="10"/>
  <c r="H21" i="10"/>
  <c r="I20" i="10"/>
  <c r="E17" i="10"/>
  <c r="J16" i="10"/>
  <c r="F17" i="10"/>
  <c r="G107" i="9" l="1"/>
  <c r="P60" i="9"/>
  <c r="E108" i="9" s="1"/>
  <c r="E107" i="9"/>
  <c r="I107" i="9"/>
  <c r="T60" i="9"/>
  <c r="C66" i="10"/>
  <c r="D66" i="10" s="1"/>
  <c r="B67" i="10"/>
  <c r="P66" i="10"/>
  <c r="I21" i="10"/>
  <c r="H22" i="10"/>
  <c r="M16" i="10"/>
  <c r="G17" i="10"/>
  <c r="C17" i="10"/>
  <c r="F62" i="10"/>
  <c r="B68" i="10" l="1"/>
  <c r="P67" i="10"/>
  <c r="C67" i="10"/>
  <c r="D67" i="10" s="1"/>
  <c r="T63" i="9"/>
  <c r="I108" i="9"/>
  <c r="T62" i="9"/>
  <c r="I22" i="10"/>
  <c r="H23" i="10"/>
  <c r="J17" i="10"/>
  <c r="E18" i="10"/>
  <c r="F18" i="10"/>
  <c r="C18" i="10" l="1"/>
  <c r="E19" i="10" s="1"/>
  <c r="E65" i="10" s="1"/>
  <c r="Q65" i="10" s="1"/>
  <c r="I111" i="9"/>
  <c r="C74" i="7"/>
  <c r="I110" i="9"/>
  <c r="E62" i="10"/>
  <c r="Q62" i="10" s="1"/>
  <c r="E63" i="10"/>
  <c r="Q63" i="10" s="1"/>
  <c r="E64" i="10"/>
  <c r="Q64" i="10" s="1"/>
  <c r="P68" i="10"/>
  <c r="C68" i="10"/>
  <c r="D68" i="10" s="1"/>
  <c r="B69" i="10"/>
  <c r="G18" i="10"/>
  <c r="H24" i="10"/>
  <c r="I23" i="10"/>
  <c r="M17" i="10"/>
  <c r="F63" i="10"/>
  <c r="J18" i="10" l="1"/>
  <c r="F64" i="10" s="1"/>
  <c r="C76" i="7"/>
  <c r="C75" i="7"/>
  <c r="C77" i="7" s="1"/>
  <c r="C69" i="10"/>
  <c r="D69" i="10" s="1"/>
  <c r="P69" i="10"/>
  <c r="B70" i="10"/>
  <c r="F19" i="10"/>
  <c r="M18" i="10" s="1"/>
  <c r="I24" i="10"/>
  <c r="H25" i="10"/>
  <c r="B71" i="10" l="1"/>
  <c r="C70" i="10"/>
  <c r="D70" i="10" s="1"/>
  <c r="P70" i="10"/>
  <c r="E7" i="10"/>
  <c r="C81" i="7"/>
  <c r="C82" i="7"/>
  <c r="E4" i="10"/>
  <c r="G19" i="10"/>
  <c r="C19" i="10"/>
  <c r="I25" i="10"/>
  <c r="H26" i="10"/>
  <c r="K16" i="10" l="1"/>
  <c r="G62" i="10" s="1"/>
  <c r="K28" i="10"/>
  <c r="K25" i="10"/>
  <c r="K33" i="10"/>
  <c r="K30" i="10"/>
  <c r="K18" i="10"/>
  <c r="K15" i="10"/>
  <c r="K34" i="10"/>
  <c r="K35" i="10"/>
  <c r="K23" i="10"/>
  <c r="K26" i="10"/>
  <c r="K27" i="10"/>
  <c r="K20" i="10"/>
  <c r="K24" i="10"/>
  <c r="K19" i="10"/>
  <c r="K32" i="10"/>
  <c r="K31" i="10"/>
  <c r="K21" i="10"/>
  <c r="K22" i="10"/>
  <c r="K17" i="10"/>
  <c r="K29" i="10"/>
  <c r="L20" i="10"/>
  <c r="L31" i="10"/>
  <c r="L23" i="10"/>
  <c r="L34" i="10"/>
  <c r="L25" i="10"/>
  <c r="L21" i="10"/>
  <c r="L27" i="10"/>
  <c r="L24" i="10"/>
  <c r="L29" i="10"/>
  <c r="L18" i="10"/>
  <c r="L17" i="10"/>
  <c r="L19" i="10"/>
  <c r="L26" i="10"/>
  <c r="L32" i="10"/>
  <c r="L35" i="10"/>
  <c r="L30" i="10"/>
  <c r="L16" i="10"/>
  <c r="H62" i="10" s="1"/>
  <c r="L33" i="10"/>
  <c r="L22" i="10"/>
  <c r="L28" i="10"/>
  <c r="B72" i="10"/>
  <c r="P71" i="10"/>
  <c r="C71" i="10"/>
  <c r="D71" i="10" s="1"/>
  <c r="F20" i="10"/>
  <c r="G20" i="10" s="1"/>
  <c r="J19" i="10"/>
  <c r="F65" i="10" s="1"/>
  <c r="E20" i="10"/>
  <c r="E66" i="10" s="1"/>
  <c r="Q66" i="10" s="1"/>
  <c r="H27" i="10"/>
  <c r="I26" i="10"/>
  <c r="G63" i="10" l="1"/>
  <c r="G64" i="10" s="1"/>
  <c r="H63" i="10"/>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P72" i="10"/>
  <c r="B73" i="10"/>
  <c r="C72" i="10"/>
  <c r="D72" i="10" s="1"/>
  <c r="I62" i="10"/>
  <c r="J62" i="10" s="1"/>
  <c r="C20" i="10"/>
  <c r="E21" i="10" s="1"/>
  <c r="E67" i="10" s="1"/>
  <c r="Q67" i="10" s="1"/>
  <c r="M19" i="10"/>
  <c r="I27" i="10"/>
  <c r="H28" i="10"/>
  <c r="I63" i="10" l="1"/>
  <c r="J63" i="10" s="1"/>
  <c r="M63" i="10" s="1"/>
  <c r="J20" i="10"/>
  <c r="F66" i="10" s="1"/>
  <c r="C73" i="10"/>
  <c r="D73" i="10" s="1"/>
  <c r="P73" i="10"/>
  <c r="B74" i="10"/>
  <c r="G65" i="10"/>
  <c r="I64" i="10"/>
  <c r="J64" i="10" s="1"/>
  <c r="F21" i="10"/>
  <c r="C21" i="10" s="1"/>
  <c r="E22" i="10" s="1"/>
  <c r="E68" i="10" s="1"/>
  <c r="Q68" i="10" s="1"/>
  <c r="I28" i="10"/>
  <c r="H29" i="10"/>
  <c r="G66" i="10" l="1"/>
  <c r="I65" i="10"/>
  <c r="J65" i="10" s="1"/>
  <c r="M64" i="10"/>
  <c r="C74" i="10"/>
  <c r="D74" i="10" s="1"/>
  <c r="B75" i="10"/>
  <c r="P74" i="10"/>
  <c r="G21" i="10"/>
  <c r="J21" i="10" s="1"/>
  <c r="F67" i="10" s="1"/>
  <c r="M20" i="10"/>
  <c r="H30" i="10"/>
  <c r="I29" i="10"/>
  <c r="F22" i="10"/>
  <c r="B76" i="10" l="1"/>
  <c r="P75" i="10"/>
  <c r="C75" i="10"/>
  <c r="D75" i="10" s="1"/>
  <c r="G67" i="10"/>
  <c r="G68" i="10" s="1"/>
  <c r="G69" i="10" s="1"/>
  <c r="G70" i="10" s="1"/>
  <c r="G71" i="10" s="1"/>
  <c r="G72" i="10" s="1"/>
  <c r="G73" i="10" s="1"/>
  <c r="G74" i="10" s="1"/>
  <c r="G75" i="10" s="1"/>
  <c r="G76" i="10" s="1"/>
  <c r="G77" i="10" s="1"/>
  <c r="G78" i="10" s="1"/>
  <c r="G79" i="10" s="1"/>
  <c r="G80" i="10" s="1"/>
  <c r="G81" i="10" s="1"/>
  <c r="G82" i="10" s="1"/>
  <c r="G83" i="10" s="1"/>
  <c r="G84" i="10" s="1"/>
  <c r="G85" i="10" s="1"/>
  <c r="G86" i="10" s="1"/>
  <c r="G87" i="10" s="1"/>
  <c r="G88" i="10" s="1"/>
  <c r="G89" i="10" s="1"/>
  <c r="G90" i="10" s="1"/>
  <c r="G91" i="10" s="1"/>
  <c r="G92" i="10" s="1"/>
  <c r="G93" i="10" s="1"/>
  <c r="G94" i="10" s="1"/>
  <c r="G95" i="10" s="1"/>
  <c r="G96" i="10" s="1"/>
  <c r="G97" i="10" s="1"/>
  <c r="G98" i="10" s="1"/>
  <c r="G99" i="10" s="1"/>
  <c r="G100" i="10" s="1"/>
  <c r="G101" i="10" s="1"/>
  <c r="I66" i="10"/>
  <c r="J66" i="10" s="1"/>
  <c r="M65" i="10"/>
  <c r="H31" i="10"/>
  <c r="I30" i="10"/>
  <c r="C22" i="10"/>
  <c r="M21" i="10"/>
  <c r="G22" i="10"/>
  <c r="M66" i="10" l="1"/>
  <c r="P76" i="10"/>
  <c r="B77" i="10"/>
  <c r="C76" i="10"/>
  <c r="D76" i="10" s="1"/>
  <c r="I67" i="10"/>
  <c r="J67" i="10" s="1"/>
  <c r="M67" i="10" s="1"/>
  <c r="H32" i="10"/>
  <c r="I31" i="10"/>
  <c r="E23" i="10"/>
  <c r="E69" i="10" s="1"/>
  <c r="Q69" i="10" s="1"/>
  <c r="J22" i="10"/>
  <c r="F68" i="10" s="1"/>
  <c r="I68" i="10" s="1"/>
  <c r="J68" i="10" s="1"/>
  <c r="F23" i="10" l="1"/>
  <c r="G23" i="10" s="1"/>
  <c r="B78" i="10"/>
  <c r="P77" i="10"/>
  <c r="C77" i="10"/>
  <c r="D77" i="10" s="1"/>
  <c r="M68" i="10"/>
  <c r="H33" i="10"/>
  <c r="I32" i="10"/>
  <c r="M22" i="10" l="1"/>
  <c r="C23" i="10"/>
  <c r="E24" i="10" s="1"/>
  <c r="E70" i="10" s="1"/>
  <c r="Q70" i="10" s="1"/>
  <c r="P78" i="10"/>
  <c r="C78" i="10"/>
  <c r="D78" i="10" s="1"/>
  <c r="B79" i="10"/>
  <c r="H34" i="10"/>
  <c r="I33" i="10"/>
  <c r="F24" i="10" l="1"/>
  <c r="C24" i="10" s="1"/>
  <c r="E25" i="10" s="1"/>
  <c r="E71" i="10" s="1"/>
  <c r="Q71" i="10" s="1"/>
  <c r="J23" i="10"/>
  <c r="F69" i="10" s="1"/>
  <c r="I69" i="10" s="1"/>
  <c r="J69" i="10" s="1"/>
  <c r="M69" i="10" s="1"/>
  <c r="B80" i="10"/>
  <c r="P79" i="10"/>
  <c r="C79" i="10"/>
  <c r="D79" i="10" s="1"/>
  <c r="I34" i="10"/>
  <c r="H35" i="10"/>
  <c r="F25" i="10" l="1"/>
  <c r="M24" i="10" s="1"/>
  <c r="M23" i="10"/>
  <c r="G24" i="10"/>
  <c r="J24" i="10" s="1"/>
  <c r="F70" i="10" s="1"/>
  <c r="I70" i="10" s="1"/>
  <c r="J70" i="10" s="1"/>
  <c r="M70" i="10" s="1"/>
  <c r="P80" i="10"/>
  <c r="C80" i="10"/>
  <c r="D80" i="10" s="1"/>
  <c r="B81" i="10"/>
  <c r="I35" i="10"/>
  <c r="I36" i="10" s="1"/>
  <c r="I37" i="10" s="1"/>
  <c r="I38" i="10" s="1"/>
  <c r="I39" i="10" s="1"/>
  <c r="I40" i="10" s="1"/>
  <c r="I41" i="10" s="1"/>
  <c r="I42" i="10" s="1"/>
  <c r="I43" i="10" s="1"/>
  <c r="I44" i="10" s="1"/>
  <c r="I45" i="10" s="1"/>
  <c r="I46" i="10" s="1"/>
  <c r="I47" i="10" s="1"/>
  <c r="I48" i="10" s="1"/>
  <c r="I49" i="10" s="1"/>
  <c r="I50" i="10" s="1"/>
  <c r="I51" i="10" s="1"/>
  <c r="I52" i="10" s="1"/>
  <c r="I53" i="10" s="1"/>
  <c r="I54" i="10" s="1"/>
  <c r="I55" i="10" s="1"/>
  <c r="C25" i="10" l="1"/>
  <c r="E26" i="10" s="1"/>
  <c r="E72" i="10" s="1"/>
  <c r="Q72" i="10" s="1"/>
  <c r="G25" i="10"/>
  <c r="B82" i="10"/>
  <c r="C81" i="10"/>
  <c r="D81" i="10" s="1"/>
  <c r="P81" i="10"/>
  <c r="P103" i="10" s="1"/>
  <c r="B104" i="10" s="1"/>
  <c r="G3" i="7" s="1"/>
  <c r="J25" i="10" l="1"/>
  <c r="F71" i="10" s="1"/>
  <c r="I71" i="10" s="1"/>
  <c r="J71" i="10" s="1"/>
  <c r="M71" i="10" s="1"/>
  <c r="C82" i="10"/>
  <c r="D82" i="10" s="1"/>
  <c r="B83" i="10"/>
  <c r="F26" i="10"/>
  <c r="M25" i="10" s="1"/>
  <c r="B84" i="10" l="1"/>
  <c r="C83" i="10"/>
  <c r="D83" i="10" s="1"/>
  <c r="G26" i="10"/>
  <c r="C26" i="10"/>
  <c r="E27" i="10" s="1"/>
  <c r="E73" i="10" s="1"/>
  <c r="Q73" i="10" s="1"/>
  <c r="B85" i="10" l="1"/>
  <c r="C84" i="10"/>
  <c r="D84" i="10" s="1"/>
  <c r="J26" i="10"/>
  <c r="F72" i="10" s="1"/>
  <c r="I72" i="10" s="1"/>
  <c r="J72" i="10" s="1"/>
  <c r="M72" i="10" s="1"/>
  <c r="F27" i="10"/>
  <c r="B86" i="10" l="1"/>
  <c r="C85" i="10"/>
  <c r="D85" i="10" s="1"/>
  <c r="M26" i="10"/>
  <c r="G27" i="10"/>
  <c r="C27" i="10"/>
  <c r="B87" i="10" l="1"/>
  <c r="C86" i="10"/>
  <c r="D86" i="10" s="1"/>
  <c r="J27" i="10"/>
  <c r="F73" i="10" s="1"/>
  <c r="I73" i="10" s="1"/>
  <c r="J73" i="10" s="1"/>
  <c r="E28" i="10"/>
  <c r="E74" i="10" s="1"/>
  <c r="Q74" i="10" s="1"/>
  <c r="B88" i="10" l="1"/>
  <c r="C87" i="10"/>
  <c r="D87" i="10" s="1"/>
  <c r="F28" i="10"/>
  <c r="G28" i="10" s="1"/>
  <c r="M73" i="10"/>
  <c r="C88" i="10" l="1"/>
  <c r="D88" i="10" s="1"/>
  <c r="B89" i="10"/>
  <c r="C28" i="10"/>
  <c r="J28" i="10" s="1"/>
  <c r="F74" i="10" s="1"/>
  <c r="I74" i="10" s="1"/>
  <c r="J74" i="10" s="1"/>
  <c r="M27" i="10"/>
  <c r="B90" i="10" l="1"/>
  <c r="C89" i="10"/>
  <c r="D89" i="10" s="1"/>
  <c r="E29" i="10"/>
  <c r="E75" i="10" s="1"/>
  <c r="Q75" i="10" s="1"/>
  <c r="M74" i="10"/>
  <c r="B91" i="10" l="1"/>
  <c r="C90" i="10"/>
  <c r="D90" i="10" s="1"/>
  <c r="F29" i="10"/>
  <c r="G29" i="10" s="1"/>
  <c r="B92" i="10" l="1"/>
  <c r="C91" i="10"/>
  <c r="D91" i="10" s="1"/>
  <c r="M28" i="10"/>
  <c r="C29" i="10"/>
  <c r="E30" i="10" s="1"/>
  <c r="E76" i="10" s="1"/>
  <c r="Q76" i="10" s="1"/>
  <c r="J29" i="10" l="1"/>
  <c r="F75" i="10" s="1"/>
  <c r="I75" i="10" s="1"/>
  <c r="J75" i="10" s="1"/>
  <c r="M75" i="10" s="1"/>
  <c r="C92" i="10"/>
  <c r="D92" i="10" s="1"/>
  <c r="B93" i="10"/>
  <c r="F30" i="10"/>
  <c r="C93" i="10" l="1"/>
  <c r="D93" i="10" s="1"/>
  <c r="B94" i="10"/>
  <c r="M29" i="10"/>
  <c r="C30" i="10"/>
  <c r="G30" i="10"/>
  <c r="C94" i="10" l="1"/>
  <c r="D94" i="10" s="1"/>
  <c r="B95" i="10"/>
  <c r="J30" i="10"/>
  <c r="F76" i="10" s="1"/>
  <c r="I76" i="10" s="1"/>
  <c r="J76" i="10" s="1"/>
  <c r="E31" i="10"/>
  <c r="E77" i="10" s="1"/>
  <c r="Q77" i="10" s="1"/>
  <c r="B96" i="10" l="1"/>
  <c r="C95" i="10"/>
  <c r="D95" i="10" s="1"/>
  <c r="M76" i="10"/>
  <c r="F31" i="10"/>
  <c r="C96" i="10" l="1"/>
  <c r="D96" i="10" s="1"/>
  <c r="B97" i="10"/>
  <c r="M30" i="10"/>
  <c r="G31" i="10"/>
  <c r="C31" i="10"/>
  <c r="C97" i="10" l="1"/>
  <c r="D97" i="10" s="1"/>
  <c r="B98" i="10"/>
  <c r="E32" i="10"/>
  <c r="E78" i="10" s="1"/>
  <c r="Q78" i="10" s="1"/>
  <c r="J31" i="10"/>
  <c r="F77" i="10" s="1"/>
  <c r="I77" i="10" s="1"/>
  <c r="J77" i="10" s="1"/>
  <c r="C98" i="10" l="1"/>
  <c r="D98" i="10" s="1"/>
  <c r="B99" i="10"/>
  <c r="M77" i="10"/>
  <c r="F32" i="10"/>
  <c r="C99" i="10" l="1"/>
  <c r="D99" i="10" s="1"/>
  <c r="B100" i="10"/>
  <c r="M31" i="10"/>
  <c r="G32" i="10"/>
  <c r="C32" i="10"/>
  <c r="C100" i="10" l="1"/>
  <c r="D100" i="10" s="1"/>
  <c r="B101" i="10"/>
  <c r="C101" i="10" s="1"/>
  <c r="D101" i="10" s="1"/>
  <c r="E33" i="10"/>
  <c r="E79" i="10" s="1"/>
  <c r="Q79" i="10" s="1"/>
  <c r="J32" i="10"/>
  <c r="F78" i="10" s="1"/>
  <c r="I78" i="10" s="1"/>
  <c r="J78" i="10" s="1"/>
  <c r="F33" i="10" l="1"/>
  <c r="G33" i="10" s="1"/>
  <c r="M78" i="10"/>
  <c r="C33" i="10" l="1"/>
  <c r="E34" i="10" s="1"/>
  <c r="M32" i="10"/>
  <c r="J33" i="10"/>
  <c r="F79" i="10" s="1"/>
  <c r="I79" i="10" s="1"/>
  <c r="J79" i="10" s="1"/>
  <c r="E80" i="10" l="1"/>
  <c r="Q80" i="10" s="1"/>
  <c r="F34" i="10"/>
  <c r="G34" i="10" s="1"/>
  <c r="M79" i="10"/>
  <c r="C34" i="10" l="1"/>
  <c r="E35" i="10" s="1"/>
  <c r="E81" i="10" s="1"/>
  <c r="Q81" i="10" s="1"/>
  <c r="M33" i="10"/>
  <c r="J34" i="10" l="1"/>
  <c r="F80" i="10" s="1"/>
  <c r="I80" i="10" s="1"/>
  <c r="J80" i="10" s="1"/>
  <c r="M80" i="10" s="1"/>
  <c r="F35" i="10"/>
  <c r="M34" i="10" l="1"/>
  <c r="G35" i="10"/>
  <c r="C35" i="10"/>
  <c r="J35" i="10" l="1"/>
  <c r="F81" i="10" s="1"/>
  <c r="I81" i="10" s="1"/>
  <c r="J81" i="10" s="1"/>
  <c r="M81" i="10" s="1"/>
  <c r="E36" i="10"/>
  <c r="E82" i="10" s="1"/>
  <c r="Q82" i="10" s="1"/>
  <c r="F36" i="10" l="1"/>
  <c r="G5" i="7"/>
  <c r="H104" i="10" s="1"/>
  <c r="M35" i="10" l="1"/>
  <c r="G36" i="10"/>
  <c r="C36" i="10"/>
  <c r="E37" i="10" l="1"/>
  <c r="E83" i="10" s="1"/>
  <c r="Q83" i="10" s="1"/>
  <c r="F37" i="10"/>
  <c r="C37" i="10" s="1"/>
  <c r="J36" i="10"/>
  <c r="F82" i="10" s="1"/>
  <c r="I82" i="10" s="1"/>
  <c r="J82" i="10" s="1"/>
  <c r="M82" i="10" l="1"/>
  <c r="G37" i="10"/>
  <c r="J37" i="10" s="1"/>
  <c r="F83" i="10" s="1"/>
  <c r="I83" i="10" s="1"/>
  <c r="J83" i="10" s="1"/>
  <c r="E38" i="10"/>
  <c r="E84" i="10" s="1"/>
  <c r="Q84" i="10" s="1"/>
  <c r="M36" i="10"/>
  <c r="M83" i="10" l="1"/>
  <c r="F38" i="10"/>
  <c r="G38" i="10" l="1"/>
  <c r="M37" i="10"/>
  <c r="C38" i="10"/>
  <c r="E39" i="10" l="1"/>
  <c r="E85" i="10" s="1"/>
  <c r="Q85" i="10" s="1"/>
  <c r="J38" i="10"/>
  <c r="F84" i="10" s="1"/>
  <c r="I84" i="10" s="1"/>
  <c r="J84" i="10" s="1"/>
  <c r="F39" i="10" l="1"/>
  <c r="C39" i="10" s="1"/>
  <c r="E40" i="10" s="1"/>
  <c r="E86" i="10" s="1"/>
  <c r="Q86" i="10" s="1"/>
  <c r="M84" i="10"/>
  <c r="M38" i="10" l="1"/>
  <c r="G39" i="10"/>
  <c r="J39" i="10" s="1"/>
  <c r="F85" i="10" s="1"/>
  <c r="I85" i="10" s="1"/>
  <c r="J85" i="10" s="1"/>
  <c r="F40" i="10"/>
  <c r="C40" i="10" s="1"/>
  <c r="E41" i="10" s="1"/>
  <c r="M85" i="10"/>
  <c r="E87" i="10" l="1"/>
  <c r="Q87" i="10" s="1"/>
  <c r="F41" i="10"/>
  <c r="C41" i="10" s="1"/>
  <c r="G40" i="10"/>
  <c r="J40" i="10" s="1"/>
  <c r="F86" i="10" s="1"/>
  <c r="I86" i="10" s="1"/>
  <c r="J86" i="10" s="1"/>
  <c r="M39" i="10"/>
  <c r="M40" i="10"/>
  <c r="M86" i="10"/>
  <c r="E42" i="10"/>
  <c r="E88" i="10" s="1"/>
  <c r="Q88" i="10" s="1"/>
  <c r="G41" i="10" l="1"/>
  <c r="J41" i="10" s="1"/>
  <c r="F87" i="10" s="1"/>
  <c r="I87" i="10" s="1"/>
  <c r="J87" i="10" s="1"/>
  <c r="F42" i="10"/>
  <c r="G42" i="10" l="1"/>
  <c r="M87" i="10"/>
  <c r="M41" i="10"/>
  <c r="C42" i="10"/>
  <c r="E43" i="10" l="1"/>
  <c r="E89" i="10" s="1"/>
  <c r="Q89" i="10" s="1"/>
  <c r="J42" i="10"/>
  <c r="F88" i="10" s="1"/>
  <c r="I88" i="10" s="1"/>
  <c r="J88" i="10" s="1"/>
  <c r="M88" i="10" l="1"/>
  <c r="F43" i="10"/>
  <c r="C43" i="10" s="1"/>
  <c r="E44" i="10" s="1"/>
  <c r="E90" i="10" s="1"/>
  <c r="Q90" i="10" s="1"/>
  <c r="M42" i="10" l="1"/>
  <c r="G43" i="10"/>
  <c r="J43" i="10"/>
  <c r="F89" i="10" s="1"/>
  <c r="I89" i="10" s="1"/>
  <c r="J89" i="10" s="1"/>
  <c r="F44" i="10"/>
  <c r="M89" i="10" l="1"/>
  <c r="C44" i="10"/>
  <c r="M43" i="10"/>
  <c r="G44" i="10"/>
  <c r="E45" i="10" l="1"/>
  <c r="E91" i="10" s="1"/>
  <c r="Q91" i="10" s="1"/>
  <c r="J44" i="10"/>
  <c r="F90" i="10" s="1"/>
  <c r="I90" i="10" s="1"/>
  <c r="J90" i="10" s="1"/>
  <c r="M90" i="10" l="1"/>
  <c r="F45" i="10"/>
  <c r="M44" i="10" s="1"/>
  <c r="G45" i="10" l="1"/>
  <c r="C45" i="10"/>
  <c r="E46" i="10" s="1"/>
  <c r="E92" i="10" s="1"/>
  <c r="Q92" i="10" s="1"/>
  <c r="J45" i="10" l="1"/>
  <c r="F91" i="10" s="1"/>
  <c r="I91" i="10" s="1"/>
  <c r="J91" i="10" s="1"/>
  <c r="F46" i="10"/>
  <c r="M45" i="10" s="1"/>
  <c r="M91" i="10"/>
  <c r="C46" i="10" l="1"/>
  <c r="E47" i="10" s="1"/>
  <c r="G46" i="10"/>
  <c r="J46" i="10" l="1"/>
  <c r="F92" i="10" s="1"/>
  <c r="I92" i="10" s="1"/>
  <c r="J92" i="10" s="1"/>
  <c r="E93" i="10"/>
  <c r="Q93" i="10" s="1"/>
  <c r="F47" i="10"/>
  <c r="M46" i="10" s="1"/>
  <c r="M92" i="10"/>
  <c r="G47" i="10" l="1"/>
  <c r="C47" i="10"/>
  <c r="E48" i="10"/>
  <c r="E94" i="10" s="1"/>
  <c r="Q94" i="10" s="1"/>
  <c r="J47" i="10"/>
  <c r="F93" i="10" s="1"/>
  <c r="I93" i="10" s="1"/>
  <c r="J93" i="10" s="1"/>
  <c r="M93" i="10" l="1"/>
  <c r="F48" i="10"/>
  <c r="M47" i="10" s="1"/>
  <c r="G48" i="10" l="1"/>
  <c r="C48" i="10"/>
  <c r="E49" i="10" s="1"/>
  <c r="J48" i="10" l="1"/>
  <c r="F94" i="10" s="1"/>
  <c r="I94" i="10" s="1"/>
  <c r="J94" i="10" s="1"/>
  <c r="M94" i="10"/>
  <c r="E95" i="10"/>
  <c r="Q95" i="10" s="1"/>
  <c r="F49" i="10"/>
  <c r="G49" i="10" s="1"/>
  <c r="M48" i="10" l="1"/>
  <c r="C49" i="10"/>
  <c r="E50" i="10" s="1"/>
  <c r="E96" i="10" s="1"/>
  <c r="Q96" i="10" s="1"/>
  <c r="J49" i="10" l="1"/>
  <c r="F95" i="10" s="1"/>
  <c r="I95" i="10" s="1"/>
  <c r="J95" i="10" s="1"/>
  <c r="M95" i="10"/>
  <c r="F50" i="10"/>
  <c r="C50" i="10" s="1"/>
  <c r="E51" i="10" s="1"/>
  <c r="M49" i="10" l="1"/>
  <c r="G50" i="10"/>
  <c r="J50" i="10" s="1"/>
  <c r="F96" i="10" s="1"/>
  <c r="I96" i="10" s="1"/>
  <c r="J96" i="10" s="1"/>
  <c r="E97" i="10"/>
  <c r="Q97" i="10" s="1"/>
  <c r="F51" i="10"/>
  <c r="M50" i="10" s="1"/>
  <c r="G51" i="10" l="1"/>
  <c r="M96" i="10"/>
  <c r="C51" i="10"/>
  <c r="E52" i="10" s="1"/>
  <c r="E98" i="10" s="1"/>
  <c r="Q98" i="10" s="1"/>
  <c r="J51" i="10" l="1"/>
  <c r="F97" i="10" s="1"/>
  <c r="I97" i="10" s="1"/>
  <c r="J97" i="10" s="1"/>
  <c r="M97" i="10"/>
  <c r="F52" i="10"/>
  <c r="G52" i="10" s="1"/>
  <c r="C52" i="10" l="1"/>
  <c r="J52" i="10" s="1"/>
  <c r="F98" i="10" s="1"/>
  <c r="I98" i="10" s="1"/>
  <c r="J98" i="10" s="1"/>
  <c r="M51" i="10"/>
  <c r="E53" i="10" l="1"/>
  <c r="E99" i="10" s="1"/>
  <c r="Q99" i="10" s="1"/>
  <c r="M98" i="10"/>
  <c r="F53" i="10" l="1"/>
  <c r="C53" i="10" s="1"/>
  <c r="M52" i="10" l="1"/>
  <c r="G53" i="10"/>
  <c r="J53" i="10" s="1"/>
  <c r="F99" i="10" s="1"/>
  <c r="I99" i="10" s="1"/>
  <c r="J99" i="10" s="1"/>
  <c r="E54" i="10"/>
  <c r="E100" i="10" s="1"/>
  <c r="Q100" i="10" s="1"/>
  <c r="M99" i="10" l="1"/>
  <c r="F54" i="10"/>
  <c r="M53" i="10" l="1"/>
  <c r="C54" i="10"/>
  <c r="G54" i="10"/>
  <c r="E55" i="10" l="1"/>
  <c r="E101" i="10" s="1"/>
  <c r="Q101" i="10" s="1"/>
  <c r="J54" i="10"/>
  <c r="F100" i="10" s="1"/>
  <c r="I100" i="10" s="1"/>
  <c r="J100" i="10" s="1"/>
  <c r="F55" i="10" l="1"/>
  <c r="G55" i="10" s="1"/>
  <c r="M100" i="10"/>
  <c r="C55" i="10" l="1"/>
  <c r="J55" i="10" s="1"/>
  <c r="F101" i="10" s="1"/>
  <c r="I101" i="10" s="1"/>
  <c r="J101" i="10" s="1"/>
  <c r="M101" i="10" s="1"/>
  <c r="M102" i="10" s="1"/>
  <c r="K104" i="10" s="1"/>
  <c r="G6" i="7" s="1"/>
  <c r="M54" i="10"/>
  <c r="M55" i="10"/>
  <c r="M56" i="10" s="1"/>
  <c r="C69" i="7" s="1"/>
  <c r="E104" i="10"/>
  <c r="G4" i="7" s="1"/>
  <c r="E4"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JP</author>
  </authors>
  <commentList>
    <comment ref="K23" authorId="0" shapeId="0" xr:uid="{55B2909A-C750-46B5-A691-C28A5F0D1F3D}">
      <text>
        <r>
          <rPr>
            <b/>
            <sz val="9"/>
            <color indexed="81"/>
            <rFont val="Segoe UI"/>
            <family val="2"/>
          </rPr>
          <t>JP:</t>
        </r>
        <r>
          <rPr>
            <sz val="9"/>
            <color indexed="81"/>
            <rFont val="Segoe UI"/>
            <family val="2"/>
          </rPr>
          <t xml:space="preserve">
für Auswahl der Windgeschwindigkeit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JP</author>
  </authors>
  <commentList>
    <comment ref="M56" authorId="0" shapeId="0" xr:uid="{93EC7C6C-1B31-40A6-8867-855CDAA94261}">
      <text>
        <r>
          <rPr>
            <b/>
            <sz val="9"/>
            <color indexed="81"/>
            <rFont val="Segoe UI"/>
            <family val="2"/>
          </rPr>
          <t>JP:</t>
        </r>
        <r>
          <rPr>
            <sz val="9"/>
            <color indexed="81"/>
            <rFont val="Segoe UI"/>
            <family val="2"/>
          </rPr>
          <t xml:space="preserve">
für Tilgungsdauer</t>
        </r>
      </text>
    </comment>
  </commentList>
</comments>
</file>

<file path=xl/sharedStrings.xml><?xml version="1.0" encoding="utf-8"?>
<sst xmlns="http://schemas.openxmlformats.org/spreadsheetml/2006/main" count="917" uniqueCount="529">
  <si>
    <t>(entspricht einer schwachen Brise = dünne Zweige in Bäumen bewegen sich leicht, siehe dazu auch die sog. Beaufort-Skala)</t>
  </si>
  <si>
    <t>https://www.dwd.de/DE/service/lexikon/Functions/glossar.html?lv2=100310&amp;lv3=100390</t>
  </si>
  <si>
    <t>Windschneisen und Häuserschluchten können sich positiv auswirken</t>
  </si>
  <si>
    <t>Genehmigung</t>
  </si>
  <si>
    <t>Kleinwindkraftanlage registriert</t>
  </si>
  <si>
    <t>Kosten</t>
  </si>
  <si>
    <t>Betriebskosten (Wartung, Versicherung)</t>
  </si>
  <si>
    <t>Anschaffungskosten (Preis Anlage, Installationskosten)</t>
  </si>
  <si>
    <t>Anschaffungskosten 3.000 bis  9.000 Euro pro Kilowatt (kW) Verbaucherzentrale</t>
  </si>
  <si>
    <t>Betriebskosten 2 bis 3 Prozente der Investitionskosten</t>
  </si>
  <si>
    <t>Lebensdauer 10 bis 20 Jahre</t>
  </si>
  <si>
    <t>Windmessung</t>
  </si>
  <si>
    <t>Beratung</t>
  </si>
  <si>
    <t>Planung</t>
  </si>
  <si>
    <t>Projektierung und Genehmigung</t>
  </si>
  <si>
    <t>Standorterschließung (Verkabelung, Netzanschlussgebühr)</t>
  </si>
  <si>
    <t>Windertrag</t>
  </si>
  <si>
    <t>E=(1/2)mv²</t>
  </si>
  <si>
    <t>E=kinetische Energie</t>
  </si>
  <si>
    <t>P=Leistung</t>
  </si>
  <si>
    <t>P=E/t</t>
  </si>
  <si>
    <t>m= bewegte Masse: Luft, die durch die Rotorfläche strömt</t>
  </si>
  <si>
    <t>m=ρ*V</t>
  </si>
  <si>
    <t>m=Masse der Luft</t>
  </si>
  <si>
    <t>ie Luftmasse m ist gleich der Luftdichte ρ multipliziert mit dem Volumen V der Luft</t>
  </si>
  <si>
    <t>https://www.e-genius.at/fileadmin/user_upload/windkraft/07_wie_wird_die_leistung_einer_windkraftanlage_berechnet.html</t>
  </si>
  <si>
    <t>Hau Kapitel 14.5</t>
  </si>
  <si>
    <t>Hau (2016)</t>
  </si>
  <si>
    <t>S. 560</t>
  </si>
  <si>
    <t>ρ</t>
  </si>
  <si>
    <r>
      <t>v</t>
    </r>
    <r>
      <rPr>
        <vertAlign val="subscript"/>
        <sz val="11"/>
        <color theme="1"/>
        <rFont val="Calibri"/>
        <family val="2"/>
        <scheme val="minor"/>
      </rPr>
      <t>w</t>
    </r>
  </si>
  <si>
    <t>F</t>
  </si>
  <si>
    <t>Luftdichte bei Normalatmosphäre (1‚225 kg/m3)</t>
  </si>
  <si>
    <t>Windgeschwindigkeit (m/s)</t>
  </si>
  <si>
    <t>Bezugsfläche (Durchströmfläche) (m2)</t>
  </si>
  <si>
    <r>
      <t>P</t>
    </r>
    <r>
      <rPr>
        <vertAlign val="subscript"/>
        <sz val="11"/>
        <color theme="1"/>
        <rFont val="Calibri"/>
        <family val="2"/>
        <scheme val="minor"/>
      </rPr>
      <t>W</t>
    </r>
  </si>
  <si>
    <t>(W)</t>
  </si>
  <si>
    <r>
      <t>P</t>
    </r>
    <r>
      <rPr>
        <vertAlign val="subscript"/>
        <sz val="11"/>
        <color theme="1"/>
        <rFont val="Calibri"/>
        <family val="2"/>
        <scheme val="minor"/>
      </rPr>
      <t>W</t>
    </r>
    <r>
      <rPr>
        <sz val="11"/>
        <color theme="1"/>
        <rFont val="Calibri"/>
        <family val="2"/>
        <scheme val="minor"/>
      </rPr>
      <t>=(1/2)ρ*F*v</t>
    </r>
    <r>
      <rPr>
        <vertAlign val="subscript"/>
        <sz val="11"/>
        <color theme="1"/>
        <rFont val="Calibri"/>
        <family val="2"/>
        <scheme val="minor"/>
      </rPr>
      <t>w</t>
    </r>
    <r>
      <rPr>
        <vertAlign val="superscript"/>
        <sz val="11"/>
        <color theme="1"/>
        <rFont val="Calibri"/>
        <family val="2"/>
        <scheme val="minor"/>
      </rPr>
      <t>3</t>
    </r>
  </si>
  <si>
    <t>aus dem Wind entnehmbare Leistung (W)</t>
  </si>
  <si>
    <r>
      <t>F=(π*d</t>
    </r>
    <r>
      <rPr>
        <vertAlign val="superscript"/>
        <sz val="11"/>
        <color theme="1"/>
        <rFont val="Calibri"/>
        <family val="2"/>
        <scheme val="minor"/>
      </rPr>
      <t>2</t>
    </r>
    <r>
      <rPr>
        <sz val="11"/>
        <color theme="1"/>
        <rFont val="Calibri"/>
        <family val="2"/>
        <scheme val="minor"/>
      </rPr>
      <t>)/4</t>
    </r>
  </si>
  <si>
    <t>d</t>
  </si>
  <si>
    <t>Wirtschaftlichkeitsanalysetool für eine kleine Windkraftanlage zur privaten Nutzung</t>
  </si>
  <si>
    <t>Stromkosten/a</t>
  </si>
  <si>
    <t>1-Personen-Haushalt</t>
  </si>
  <si>
    <t>2-Personen-Haushalt</t>
  </si>
  <si>
    <t>3-Personen-Haushalt und mehr</t>
  </si>
  <si>
    <t>Haushaltsgröße</t>
  </si>
  <si>
    <t>Stromverbrauch [kWh/a]</t>
  </si>
  <si>
    <t>destatis.de</t>
  </si>
  <si>
    <t>[Cent/kWh]</t>
  </si>
  <si>
    <t>Stromkosten/kWh</t>
  </si>
  <si>
    <t>[€/a]</t>
  </si>
  <si>
    <t>2500 - 5000 kWh/a</t>
  </si>
  <si>
    <t>Strompreis [Cent/kWh]</t>
  </si>
  <si>
    <t>1000 - 2500 kWh/a</t>
  </si>
  <si>
    <t>statista 2019</t>
  </si>
  <si>
    <t>im Jahr 2017</t>
  </si>
  <si>
    <t>[a]</t>
  </si>
  <si>
    <t>https://www.klein-windkraftanlagen.com/allgemein/preise-fuer-kleinwindkraftanlagen-fehlinvestitionen-vermeiden/</t>
  </si>
  <si>
    <t>Info Preise</t>
  </si>
  <si>
    <t>EasyWind6</t>
  </si>
  <si>
    <t>▪▪ Nennwindgeschwindigkeit:</t>
  </si>
  <si>
    <t>10,6 m/s – erzeugt 6 kW</t>
  </si>
  <si>
    <t>▪▪ Einschaltwindgeschwindigkeit:</t>
  </si>
  <si>
    <t>3 m/s – erzeugt 100W</t>
  </si>
  <si>
    <t>5.000 Euro/a an Durchschnitt annehmen</t>
  </si>
  <si>
    <t>Klassen</t>
  </si>
  <si>
    <t>Absolute Häufigkeit</t>
  </si>
  <si>
    <t>0,5 - 1 m/s</t>
  </si>
  <si>
    <t>1 - 1,5 m/s</t>
  </si>
  <si>
    <t>1,5 - 2 m/s</t>
  </si>
  <si>
    <t>2 - 2,5 m/s</t>
  </si>
  <si>
    <t>2,5 - 3 m/s</t>
  </si>
  <si>
    <t>3 - 3,5 m/s</t>
  </si>
  <si>
    <t>3,5 - 4 m/s</t>
  </si>
  <si>
    <t>4,5 - 5 m/s</t>
  </si>
  <si>
    <t>4 - 4,5 m/s</t>
  </si>
  <si>
    <t>5 - 5,5 m/s</t>
  </si>
  <si>
    <t>5,5 - 6 m/s</t>
  </si>
  <si>
    <t>6 - 6,5 m/s</t>
  </si>
  <si>
    <t>6,5 - 7 m/s</t>
  </si>
  <si>
    <t>7 - 7,5 m/s</t>
  </si>
  <si>
    <t>7,5 - 8 m/s</t>
  </si>
  <si>
    <t>8 - 8,5 m/s</t>
  </si>
  <si>
    <t>8,5 - 9 m/s</t>
  </si>
  <si>
    <t>9 - 9,5 m/s</t>
  </si>
  <si>
    <t>9,5 - 10 m/s</t>
  </si>
  <si>
    <t>10 - 10,5 m/s</t>
  </si>
  <si>
    <t>10,5 - 11 m/s</t>
  </si>
  <si>
    <t>11 - 11,5 m/s</t>
  </si>
  <si>
    <t>11,5 - 12 m/s</t>
  </si>
  <si>
    <t>12 - 12,5 m/s</t>
  </si>
  <si>
    <t>12,5 - 13 m/s</t>
  </si>
  <si>
    <t>13 - 13,5 m/s</t>
  </si>
  <si>
    <t>13,5 - 14 m/s</t>
  </si>
  <si>
    <t>14 - 14,5 m/s</t>
  </si>
  <si>
    <t>14,5 - 15 m/s</t>
  </si>
  <si>
    <t>0 - 0,5 m/s</t>
  </si>
  <si>
    <t>Kosten Windkraftanlage</t>
  </si>
  <si>
    <t>Mast oder Turm</t>
  </si>
  <si>
    <t>Infrastruktur (Fundament, Sicherung etc.)</t>
  </si>
  <si>
    <t>Wechselrichter oder Laderegler</t>
  </si>
  <si>
    <t>Planung und Beratung</t>
  </si>
  <si>
    <t>Investitionskosten</t>
  </si>
  <si>
    <t>Projektierung / Genehmigung</t>
  </si>
  <si>
    <t>Sonstiges</t>
  </si>
  <si>
    <t>laufende Kosten</t>
  </si>
  <si>
    <t>Versicherung</t>
  </si>
  <si>
    <t>Nennleistung Windkraftanlage</t>
  </si>
  <si>
    <t>Wartung und Instandhaltung</t>
  </si>
  <si>
    <t>Stromverbrauch</t>
  </si>
  <si>
    <t>https://www.destatis.de/DE/Themen/Gesellschaft-Umwelt/Umwelt/Materialfluesse-Energiefluesse/Tabellen/stromverbrauch-haushalte.html;jsessionid=BB02661E5640E22CA45DEDFCD55530F1.internet732?view=main[Print]</t>
  </si>
  <si>
    <t>https://de.statista.com/statistik/daten/studie/197196/umfrage/elektrizitaetspreise-ausgewaehlter-europaeischer-laender/</t>
  </si>
  <si>
    <t>Strompreissteigerung</t>
  </si>
  <si>
    <t>https://de.statista.com/statistik/daten/studie/234370/umfrage/entwicklung-der-haushaltsstrompreise-in-deutschland/</t>
  </si>
  <si>
    <t>Stromertrag aus Kleinwindkraftanlage</t>
  </si>
  <si>
    <t>Eigennutzung</t>
  </si>
  <si>
    <t>Einspeisung</t>
  </si>
  <si>
    <t>Stromspeicher</t>
  </si>
  <si>
    <t>https://www.klein-windkraftanlagen.com/technik/stromspeicher/</t>
  </si>
  <si>
    <t>https://www.verbraucherzentrale.de/wissen/energie/erneuerbare-energien/kleine-windenergieanlagen-stromerzeugung-in-eigener-hand-10857</t>
  </si>
  <si>
    <t>https://www.klein-windkraftanlagen.com/basisinfo/</t>
  </si>
  <si>
    <t>Einspeisevergütung/kWh</t>
  </si>
  <si>
    <t>Eigenkapital</t>
  </si>
  <si>
    <t>Fremdkapital</t>
  </si>
  <si>
    <t>Gesamtinvestition</t>
  </si>
  <si>
    <t>Jahr</t>
  </si>
  <si>
    <t>Fremdkapitalanteil</t>
  </si>
  <si>
    <t>sonstiges</t>
  </si>
  <si>
    <t>Fremdkapitalzins</t>
  </si>
  <si>
    <t>Fremdkapitaltilgung</t>
  </si>
  <si>
    <t>Steigerung l. Kosten</t>
  </si>
  <si>
    <t>Strompreis</t>
  </si>
  <si>
    <t>Benötigter Strom öffentliches Netz</t>
  </si>
  <si>
    <t>Einspeisevergütung</t>
  </si>
  <si>
    <t>S.571</t>
  </si>
  <si>
    <t>Hau</t>
  </si>
  <si>
    <t>Messung in Höhe des Rotors!!!</t>
  </si>
  <si>
    <t>Hau S.579 Schwankungen Tageslinie und Jahresganglinie</t>
  </si>
  <si>
    <t>S.607 Hau Energielieferung durch Durchmesser und Nennöeistung bestimmt</t>
  </si>
  <si>
    <t>Hau, Berechnung Energielieferung nicht einfach</t>
  </si>
  <si>
    <t>S.638 Hau#</t>
  </si>
  <si>
    <t>S. 646</t>
  </si>
  <si>
    <t>Klassenmittel</t>
  </si>
  <si>
    <r>
      <t>Klassenenergieertrag nach relativer Häufigkeit der v</t>
    </r>
    <r>
      <rPr>
        <vertAlign val="subscript"/>
        <sz val="11"/>
        <color theme="1"/>
        <rFont val="Calibri"/>
        <family val="2"/>
        <scheme val="minor"/>
      </rPr>
      <t>W</t>
    </r>
  </si>
  <si>
    <t>T</t>
  </si>
  <si>
    <t>∑</t>
  </si>
  <si>
    <r>
      <t>η</t>
    </r>
    <r>
      <rPr>
        <vertAlign val="subscript"/>
        <sz val="11"/>
        <color theme="1"/>
        <rFont val="Calibri"/>
        <family val="2"/>
        <scheme val="minor"/>
      </rPr>
      <t>W</t>
    </r>
  </si>
  <si>
    <r>
      <t>η</t>
    </r>
    <r>
      <rPr>
        <vertAlign val="subscript"/>
        <sz val="11"/>
        <color theme="1"/>
        <rFont val="Calibri"/>
        <family val="2"/>
        <scheme val="minor"/>
      </rPr>
      <t>I</t>
    </r>
  </si>
  <si>
    <r>
      <t>η</t>
    </r>
    <r>
      <rPr>
        <vertAlign val="subscript"/>
        <sz val="11"/>
        <color theme="1"/>
        <rFont val="Calibri"/>
        <family val="2"/>
        <scheme val="minor"/>
      </rPr>
      <t>Netz</t>
    </r>
  </si>
  <si>
    <r>
      <t>η</t>
    </r>
    <r>
      <rPr>
        <vertAlign val="subscript"/>
        <sz val="11"/>
        <color theme="1"/>
        <rFont val="Calibri"/>
        <family val="2"/>
        <scheme val="minor"/>
      </rPr>
      <t>ges</t>
    </r>
  </si>
  <si>
    <t>https://wind-data.ch/tools/weibull.php</t>
  </si>
  <si>
    <t>A</t>
  </si>
  <si>
    <t>k</t>
  </si>
  <si>
    <t>Jörn Loviscah</t>
  </si>
  <si>
    <t>Basis der Winddaten</t>
  </si>
  <si>
    <r>
      <t>z</t>
    </r>
    <r>
      <rPr>
        <vertAlign val="subscript"/>
        <sz val="11"/>
        <color theme="1"/>
        <rFont val="Calibri"/>
        <family val="2"/>
        <scheme val="minor"/>
      </rPr>
      <t>0</t>
    </r>
  </si>
  <si>
    <t>Referenzhöhe (Meßhöhe)</t>
  </si>
  <si>
    <r>
      <t>H</t>
    </r>
    <r>
      <rPr>
        <vertAlign val="subscript"/>
        <sz val="11"/>
        <color theme="1"/>
        <rFont val="Calibri"/>
        <family val="2"/>
        <scheme val="minor"/>
      </rPr>
      <t>ref1</t>
    </r>
  </si>
  <si>
    <r>
      <t>Höhe H</t>
    </r>
    <r>
      <rPr>
        <vertAlign val="subscript"/>
        <sz val="11"/>
        <color theme="1"/>
        <rFont val="Calibri"/>
        <family val="2"/>
        <scheme val="minor"/>
      </rPr>
      <t>2</t>
    </r>
  </si>
  <si>
    <t xml:space="preserve">Formfaktor </t>
  </si>
  <si>
    <t xml:space="preserve">Skalierungsfaktor </t>
  </si>
  <si>
    <t>15 - 15,5 m/s</t>
  </si>
  <si>
    <t>15,5 - 16 m/s</t>
  </si>
  <si>
    <t>16 - 16,5 m/s</t>
  </si>
  <si>
    <t>16,5 - 17 m/s</t>
  </si>
  <si>
    <t>17 - 17,5 m/s</t>
  </si>
  <si>
    <t>17,5 - 18 m/s</t>
  </si>
  <si>
    <t>18 - 18,5 m/s</t>
  </si>
  <si>
    <t>18,5 - 19 m/s</t>
  </si>
  <si>
    <t>19 - 19,5 m/s</t>
  </si>
  <si>
    <t>19,5 - 20 m/s</t>
  </si>
  <si>
    <t xml:space="preserve">&gt; 20 m/s </t>
  </si>
  <si>
    <t>Daten Stromkosten/Stromverbrauch</t>
  </si>
  <si>
    <t>Ist-Daten</t>
  </si>
  <si>
    <t>geschätzte Daten</t>
  </si>
  <si>
    <t>[kWh/a]</t>
  </si>
  <si>
    <t>Daten Kosten der Windkraftanlage</t>
  </si>
  <si>
    <t>Windkarte des deutschen Wetterdienstes (DWD)</t>
  </si>
  <si>
    <t>https://www.dwd.de/DE/leistungen/windkarten/deutschland_und_bundeslaender.html#buehneTop</t>
  </si>
  <si>
    <t>Summe:</t>
  </si>
  <si>
    <t>[€]</t>
  </si>
  <si>
    <t>benötigter Strom aus öffentlichem Netz</t>
  </si>
  <si>
    <t>Strompreisteigerung</t>
  </si>
  <si>
    <t>[%/a]</t>
  </si>
  <si>
    <t>Abschätzung mit Hilfe der Weibullverteilung</t>
  </si>
  <si>
    <t>Abschätzung über Weibullverteilung/Windkarte</t>
  </si>
  <si>
    <t>[m]</t>
  </si>
  <si>
    <t>[m/s]</t>
  </si>
  <si>
    <t>geplante Rotorhöhe</t>
  </si>
  <si>
    <t>mittlere Windgeschwinigkeit nach Windkarte DWD</t>
  </si>
  <si>
    <t>Name/Hersteller/Modell</t>
  </si>
  <si>
    <t>Nennleistung</t>
  </si>
  <si>
    <t>Nabenhöhe/Rotorhöhe</t>
  </si>
  <si>
    <t>Rotordurchmesser</t>
  </si>
  <si>
    <r>
      <t>d</t>
    </r>
    <r>
      <rPr>
        <vertAlign val="subscript"/>
        <sz val="11"/>
        <color theme="1"/>
        <rFont val="Calibri"/>
        <family val="2"/>
        <scheme val="minor"/>
      </rPr>
      <t>Rotor</t>
    </r>
  </si>
  <si>
    <r>
      <t>P</t>
    </r>
    <r>
      <rPr>
        <vertAlign val="subscript"/>
        <sz val="11"/>
        <color theme="1"/>
        <rFont val="Calibri"/>
        <family val="2"/>
        <scheme val="minor"/>
      </rPr>
      <t>Nenn</t>
    </r>
  </si>
  <si>
    <r>
      <t>H</t>
    </r>
    <r>
      <rPr>
        <vertAlign val="subscript"/>
        <sz val="11"/>
        <color theme="1"/>
        <rFont val="Calibri"/>
        <family val="2"/>
        <scheme val="minor"/>
      </rPr>
      <t>Rotor2</t>
    </r>
  </si>
  <si>
    <r>
      <t>H</t>
    </r>
    <r>
      <rPr>
        <vertAlign val="subscript"/>
        <sz val="11"/>
        <color theme="1"/>
        <rFont val="Calibri"/>
        <family val="2"/>
        <scheme val="minor"/>
      </rPr>
      <t>Rotor</t>
    </r>
  </si>
  <si>
    <t>Luftdichte</t>
  </si>
  <si>
    <t>[m²]</t>
  </si>
  <si>
    <t>[kg/m³]</t>
  </si>
  <si>
    <r>
      <t>v</t>
    </r>
    <r>
      <rPr>
        <vertAlign val="subscript"/>
        <sz val="11"/>
        <color theme="1"/>
        <rFont val="Calibri"/>
        <family val="2"/>
        <scheme val="minor"/>
      </rPr>
      <t>w2</t>
    </r>
  </si>
  <si>
    <t>[kW]</t>
  </si>
  <si>
    <t>Nennwindgeschwindigkeit</t>
  </si>
  <si>
    <r>
      <t>v</t>
    </r>
    <r>
      <rPr>
        <vertAlign val="subscript"/>
        <sz val="11"/>
        <color theme="1"/>
        <rFont val="Calibri"/>
        <family val="2"/>
        <scheme val="minor"/>
      </rPr>
      <t>Nenn</t>
    </r>
  </si>
  <si>
    <t>Einschaltgeschwindigkeit</t>
  </si>
  <si>
    <r>
      <t>v</t>
    </r>
    <r>
      <rPr>
        <vertAlign val="subscript"/>
        <sz val="11"/>
        <color theme="1"/>
        <rFont val="Calibri"/>
        <family val="2"/>
        <scheme val="minor"/>
      </rPr>
      <t>Ein</t>
    </r>
  </si>
  <si>
    <r>
      <t>v</t>
    </r>
    <r>
      <rPr>
        <vertAlign val="subscript"/>
        <sz val="11"/>
        <color theme="1"/>
        <rFont val="Calibri"/>
        <family val="2"/>
        <scheme val="minor"/>
      </rPr>
      <t>Ab</t>
    </r>
  </si>
  <si>
    <t>Leistungsbeiwert</t>
  </si>
  <si>
    <t>dem Wind entnehmbare Leistung pro Klasse bei Berücksichtigung des Leistungsbeiwertes</t>
  </si>
  <si>
    <t>Jahresnutzungsgrad</t>
  </si>
  <si>
    <t>Volllaststunden</t>
  </si>
  <si>
    <t>[h]</t>
  </si>
  <si>
    <t>Rauhigkeitslängen</t>
  </si>
  <si>
    <t>https://wind-data.ch/tools/profile.php</t>
  </si>
  <si>
    <t>mittlere Windgeschwinigkeit nach Windmessung</t>
  </si>
  <si>
    <t>Bezeichnung</t>
  </si>
  <si>
    <t>Einheit</t>
  </si>
  <si>
    <t>Bemerkung/Kommentar</t>
  </si>
  <si>
    <t>Symbol</t>
  </si>
  <si>
    <t>Betrag</t>
  </si>
  <si>
    <r>
      <t>mittlere Windgeschwinigkeit nach Windmessung v</t>
    </r>
    <r>
      <rPr>
        <b/>
        <vertAlign val="subscript"/>
        <sz val="11"/>
        <color theme="1"/>
        <rFont val="Calibri"/>
        <family val="2"/>
        <scheme val="minor"/>
      </rPr>
      <t>W</t>
    </r>
    <r>
      <rPr>
        <b/>
        <sz val="11"/>
        <color theme="1"/>
        <rFont val="Calibri"/>
        <family val="2"/>
        <scheme val="minor"/>
      </rPr>
      <t xml:space="preserve"> [m/s]</t>
    </r>
  </si>
  <si>
    <t>Strombedarf</t>
  </si>
  <si>
    <t>Ertrag aus Einspeisevergütung in €</t>
  </si>
  <si>
    <t>Stromkosten öffentliches Netz</t>
  </si>
  <si>
    <t>Eingespeister Strom</t>
  </si>
  <si>
    <t>[€/kWh]</t>
  </si>
  <si>
    <r>
      <t>vorausgesetzte Lebensdauer t</t>
    </r>
    <r>
      <rPr>
        <b/>
        <vertAlign val="subscript"/>
        <sz val="11"/>
        <color theme="1"/>
        <rFont val="Calibri"/>
        <family val="2"/>
        <scheme val="minor"/>
      </rPr>
      <t>Leben</t>
    </r>
  </si>
  <si>
    <t>Jahre</t>
  </si>
  <si>
    <t>Stromkosten Netz [Cent/kWh]</t>
  </si>
  <si>
    <t>Differenz [Cent/kWh]</t>
  </si>
  <si>
    <t>Stromgestehungskosten [Cent/kWh]</t>
  </si>
  <si>
    <t>Vergleich der Stromkosten</t>
  </si>
  <si>
    <t>Stromkosten Netz pro Jahr [€/a]</t>
  </si>
  <si>
    <t>Stromkosten im Jahr der Investition</t>
  </si>
  <si>
    <t>Gesamtkosten Anlage [€]</t>
  </si>
  <si>
    <t>Stromkosten Netz kumuliert [€]</t>
  </si>
  <si>
    <t xml:space="preserve"> Stromertrag kumuliert [€]</t>
  </si>
  <si>
    <t>Stromkosten kumuliert [€]</t>
  </si>
  <si>
    <t>Einsparung mit Windkraftanlage [€]</t>
  </si>
  <si>
    <t>nach Jahr</t>
  </si>
  <si>
    <r>
      <t>dem Wind entnehmbare Leistung pro Klasse P</t>
    </r>
    <r>
      <rPr>
        <b/>
        <vertAlign val="subscript"/>
        <sz val="11"/>
        <color theme="1"/>
        <rFont val="Calibri"/>
        <family val="2"/>
        <scheme val="minor"/>
      </rPr>
      <t>W</t>
    </r>
  </si>
  <si>
    <r>
      <t>C</t>
    </r>
    <r>
      <rPr>
        <vertAlign val="subscript"/>
        <sz val="11"/>
        <color theme="1"/>
        <rFont val="Calibri"/>
        <family val="2"/>
        <scheme val="minor"/>
      </rPr>
      <t>P</t>
    </r>
  </si>
  <si>
    <t>betrachteter Zeitraum in h</t>
  </si>
  <si>
    <t>Wechselrichterwirkungsgrad</t>
  </si>
  <si>
    <t>typische Werte aus Praxis</t>
  </si>
  <si>
    <t>Leitungswirkungsgrad</t>
  </si>
  <si>
    <t>Gesamtwirkungsgrad</t>
  </si>
  <si>
    <t>Wirkungsgrad Netzeinspeisung</t>
  </si>
  <si>
    <t>Windkarte des DWD</t>
  </si>
  <si>
    <t>https://www.klein-windkraftanlagen.com/basisinfo/wirtschaftlichkeit/beurteilung-der-wirtschaftlichkeit-einer-investition-in-klein-windkraft/</t>
  </si>
  <si>
    <t>Betriebskosten</t>
  </si>
  <si>
    <r>
      <t>Stromgestehungskosten bei Lebensdauer t</t>
    </r>
    <r>
      <rPr>
        <b/>
        <vertAlign val="subscript"/>
        <sz val="11"/>
        <color theme="1"/>
        <rFont val="Calibri"/>
        <family val="2"/>
        <scheme val="minor"/>
      </rPr>
      <t>Leben</t>
    </r>
  </si>
  <si>
    <t>Basis Winddaten</t>
  </si>
  <si>
    <t>Stromkosten Netz [Cent/kWh] Mittelwert</t>
  </si>
  <si>
    <r>
      <rPr>
        <b/>
        <sz val="11"/>
        <color theme="1"/>
        <rFont val="Calibri"/>
        <family val="2"/>
      </rPr>
      <t>Ø</t>
    </r>
    <r>
      <rPr>
        <b/>
        <sz val="11"/>
        <color theme="1"/>
        <rFont val="Calibri"/>
        <family val="2"/>
        <scheme val="minor"/>
      </rPr>
      <t xml:space="preserve"> Stromkosten öffentliches Netz bei Lebensdauer t</t>
    </r>
    <r>
      <rPr>
        <b/>
        <vertAlign val="subscript"/>
        <sz val="11"/>
        <color theme="1"/>
        <rFont val="Calibri"/>
        <family val="2"/>
        <scheme val="minor"/>
      </rPr>
      <t>Leben</t>
    </r>
  </si>
  <si>
    <t>für durschnittlichen Strompreis öffentliches Netz</t>
  </si>
  <si>
    <t>Amortistationsdauer Windkraftanlage</t>
  </si>
  <si>
    <t>Begriff</t>
  </si>
  <si>
    <t>(übliche Lebensdauer 10-20 Jahre)</t>
  </si>
  <si>
    <t>Lebensdauer</t>
  </si>
  <si>
    <t>(üblicher Anteil 2-3%)</t>
  </si>
  <si>
    <t>Windgeschwindigkeit in Rotorhöhe</t>
  </si>
  <si>
    <t>Winddaten</t>
  </si>
  <si>
    <r>
      <t>P</t>
    </r>
    <r>
      <rPr>
        <b/>
        <vertAlign val="subscript"/>
        <sz val="11"/>
        <color theme="1"/>
        <rFont val="Calibri"/>
        <family val="2"/>
        <scheme val="minor"/>
      </rPr>
      <t>Nenn</t>
    </r>
  </si>
  <si>
    <r>
      <t>v</t>
    </r>
    <r>
      <rPr>
        <b/>
        <vertAlign val="subscript"/>
        <sz val="11"/>
        <color theme="1"/>
        <rFont val="Calibri"/>
        <family val="2"/>
        <scheme val="minor"/>
      </rPr>
      <t>Nenn</t>
    </r>
  </si>
  <si>
    <r>
      <t>v</t>
    </r>
    <r>
      <rPr>
        <b/>
        <vertAlign val="subscript"/>
        <sz val="11"/>
        <color theme="1"/>
        <rFont val="Calibri"/>
        <family val="2"/>
        <scheme val="minor"/>
      </rPr>
      <t>Ein</t>
    </r>
  </si>
  <si>
    <r>
      <t>v</t>
    </r>
    <r>
      <rPr>
        <b/>
        <vertAlign val="subscript"/>
        <sz val="11"/>
        <color theme="1"/>
        <rFont val="Calibri"/>
        <family val="2"/>
        <scheme val="minor"/>
      </rPr>
      <t>Ab</t>
    </r>
  </si>
  <si>
    <r>
      <t>H</t>
    </r>
    <r>
      <rPr>
        <b/>
        <vertAlign val="subscript"/>
        <sz val="11"/>
        <color theme="1"/>
        <rFont val="Calibri"/>
        <family val="2"/>
        <scheme val="minor"/>
      </rPr>
      <t>Rotor</t>
    </r>
  </si>
  <si>
    <r>
      <t>d</t>
    </r>
    <r>
      <rPr>
        <b/>
        <vertAlign val="subscript"/>
        <sz val="11"/>
        <color theme="1"/>
        <rFont val="Calibri"/>
        <family val="2"/>
        <scheme val="minor"/>
      </rPr>
      <t>Rotor</t>
    </r>
  </si>
  <si>
    <r>
      <t>C</t>
    </r>
    <r>
      <rPr>
        <b/>
        <vertAlign val="subscript"/>
        <sz val="11"/>
        <color theme="1"/>
        <rFont val="Calibri"/>
        <family val="2"/>
        <scheme val="minor"/>
      </rPr>
      <t>P</t>
    </r>
  </si>
  <si>
    <r>
      <t>v</t>
    </r>
    <r>
      <rPr>
        <b/>
        <vertAlign val="subscript"/>
        <sz val="11"/>
        <color theme="1"/>
        <rFont val="Calibri"/>
        <family val="2"/>
        <scheme val="minor"/>
      </rPr>
      <t>w2</t>
    </r>
  </si>
  <si>
    <r>
      <t>η</t>
    </r>
    <r>
      <rPr>
        <b/>
        <vertAlign val="subscript"/>
        <sz val="11"/>
        <color theme="1"/>
        <rFont val="Calibri"/>
        <family val="2"/>
        <scheme val="minor"/>
      </rPr>
      <t>W</t>
    </r>
  </si>
  <si>
    <r>
      <t>η</t>
    </r>
    <r>
      <rPr>
        <b/>
        <vertAlign val="subscript"/>
        <sz val="11"/>
        <color theme="1"/>
        <rFont val="Calibri"/>
        <family val="2"/>
        <scheme val="minor"/>
      </rPr>
      <t>I</t>
    </r>
  </si>
  <si>
    <r>
      <t>η</t>
    </r>
    <r>
      <rPr>
        <b/>
        <vertAlign val="subscript"/>
        <sz val="11"/>
        <color theme="1"/>
        <rFont val="Calibri"/>
        <family val="2"/>
        <scheme val="minor"/>
      </rPr>
      <t>Netz</t>
    </r>
  </si>
  <si>
    <r>
      <t>η</t>
    </r>
    <r>
      <rPr>
        <b/>
        <vertAlign val="subscript"/>
        <sz val="11"/>
        <color theme="1"/>
        <rFont val="Calibri"/>
        <family val="2"/>
        <scheme val="minor"/>
      </rPr>
      <t>ges</t>
    </r>
  </si>
  <si>
    <t>Jan-Philipp Bartel (WIMb19 WW100)</t>
  </si>
  <si>
    <t>Januar</t>
  </si>
  <si>
    <t>Februar</t>
  </si>
  <si>
    <t>März</t>
  </si>
  <si>
    <t>April</t>
  </si>
  <si>
    <t>Mai</t>
  </si>
  <si>
    <t>Juni</t>
  </si>
  <si>
    <t>Juli</t>
  </si>
  <si>
    <t>August</t>
  </si>
  <si>
    <t>September</t>
  </si>
  <si>
    <t>Oktober</t>
  </si>
  <si>
    <t>November</t>
  </si>
  <si>
    <t>Dezember</t>
  </si>
  <si>
    <t>Windmessung alle 5 min:</t>
  </si>
  <si>
    <t>ca.</t>
  </si>
  <si>
    <t>Messungen/Monat</t>
  </si>
  <si>
    <t>3,5 m/s</t>
  </si>
  <si>
    <t>exemplarisch für 3,5 m/s</t>
  </si>
  <si>
    <t>Bildung Durchschnittsgeschwindigkeit</t>
  </si>
  <si>
    <t>Windindex</t>
  </si>
  <si>
    <t>WI</t>
  </si>
  <si>
    <r>
      <t>Klassenenergieertrag nach relativer Häufigkeit der v</t>
    </r>
    <r>
      <rPr>
        <b/>
        <vertAlign val="subscript"/>
        <sz val="11"/>
        <color theme="1"/>
        <rFont val="Calibri"/>
        <family val="2"/>
        <scheme val="minor"/>
      </rPr>
      <t>W</t>
    </r>
  </si>
  <si>
    <r>
      <t>Klassenenergieertrag nach relativer Häufigkeit der v</t>
    </r>
    <r>
      <rPr>
        <b/>
        <vertAlign val="subscript"/>
        <sz val="11"/>
        <color theme="1"/>
        <rFont val="Calibri"/>
        <family val="2"/>
        <scheme val="minor"/>
      </rPr>
      <t>W</t>
    </r>
    <r>
      <rPr>
        <sz val="11"/>
        <color theme="1"/>
        <rFont val="Calibri"/>
        <family val="2"/>
        <scheme val="minor"/>
      </rPr>
      <t xml:space="preserve"> (Berücksichtigung  WI &amp; Leistungsbeiwert)</t>
    </r>
  </si>
  <si>
    <r>
      <t xml:space="preserve">dem Wind entnehmbare Leistung pro Klasse </t>
    </r>
    <r>
      <rPr>
        <sz val="11"/>
        <color theme="1"/>
        <rFont val="Calibri"/>
        <family val="2"/>
        <scheme val="minor"/>
      </rPr>
      <t>(Berücksichtigung  WI &amp; Leistungsbeiwertes)</t>
    </r>
  </si>
  <si>
    <r>
      <t>Klassenenergieertrag nach relativer Häufigkeit der v</t>
    </r>
    <r>
      <rPr>
        <vertAlign val="subscript"/>
        <sz val="11"/>
        <color theme="1"/>
        <rFont val="Calibri"/>
        <family val="2"/>
        <scheme val="minor"/>
      </rPr>
      <t>W</t>
    </r>
    <r>
      <rPr>
        <sz val="11"/>
        <color theme="1"/>
        <rFont val="Calibri"/>
        <family val="2"/>
        <scheme val="minor"/>
      </rPr>
      <t xml:space="preserve"> (Berücksichtigung WI &amp; Leistungsbeiwert, Nennleistung und Ein- &amp; Abschaltgeschwindigkeit)</t>
    </r>
  </si>
  <si>
    <t>Schnellanalyse Wirtschaftlichkeit</t>
  </si>
  <si>
    <r>
      <t xml:space="preserve">dem Wind entnehmbare Leistung pro Klasse </t>
    </r>
    <r>
      <rPr>
        <sz val="11"/>
        <color theme="1"/>
        <rFont val="Calibri"/>
        <family val="2"/>
        <scheme val="minor"/>
      </rPr>
      <t>(Berücksichtigung Leistungsbeiwert, Nennleistung und Ein- &amp; Abschaltgeschwindigkeit)</t>
    </r>
  </si>
  <si>
    <t>(angenommener Faktor der Kostensteigerung)</t>
  </si>
  <si>
    <t>Windgeschwindigkeit Messung</t>
  </si>
  <si>
    <t>Windgeschwindigkeit Windkarte</t>
  </si>
  <si>
    <r>
      <t>v</t>
    </r>
    <r>
      <rPr>
        <vertAlign val="subscript"/>
        <sz val="11"/>
        <color theme="1"/>
        <rFont val="Calibri"/>
        <family val="2"/>
        <scheme val="minor"/>
      </rPr>
      <t>w1M</t>
    </r>
  </si>
  <si>
    <r>
      <t>v</t>
    </r>
    <r>
      <rPr>
        <vertAlign val="subscript"/>
        <sz val="11"/>
        <color theme="1"/>
        <rFont val="Calibri"/>
        <family val="2"/>
        <scheme val="minor"/>
      </rPr>
      <t>w1K</t>
    </r>
  </si>
  <si>
    <t>3% entsprechen der durchschnittlichen Strompreissteigerung zwischen 2009 und 2019</t>
  </si>
  <si>
    <t>Fremdkapiltaltilgung pro Jahr</t>
  </si>
  <si>
    <t>Zinssatz pro Jahr</t>
  </si>
  <si>
    <t>Kostensteigerung pro Jahr</t>
  </si>
  <si>
    <t>Anteil an Investitionskosten pro Jahr</t>
  </si>
  <si>
    <t xml:space="preserve"> </t>
  </si>
  <si>
    <t>erwartete Windgeschwindigkeit in Rotorhöhe und somit Basis für die Ertragsrechnung</t>
  </si>
  <si>
    <r>
      <t>mittlere Windgeschwindigkeit in Referenzhöhe H</t>
    </r>
    <r>
      <rPr>
        <b/>
        <vertAlign val="subscript"/>
        <sz val="11"/>
        <color theme="1"/>
        <rFont val="Calibri"/>
        <family val="2"/>
        <scheme val="minor"/>
      </rPr>
      <t>ref</t>
    </r>
  </si>
  <si>
    <r>
      <t>v</t>
    </r>
    <r>
      <rPr>
        <b/>
        <vertAlign val="subscript"/>
        <sz val="11"/>
        <color theme="1"/>
        <rFont val="Calibri"/>
        <family val="2"/>
        <scheme val="minor"/>
      </rPr>
      <t>w1</t>
    </r>
  </si>
  <si>
    <r>
      <t>Einsparung durch Windkraftanlage bei Lebensdauer t</t>
    </r>
    <r>
      <rPr>
        <b/>
        <vertAlign val="subscript"/>
        <sz val="11"/>
        <color theme="1"/>
        <rFont val="Calibri"/>
        <family val="2"/>
        <scheme val="minor"/>
      </rPr>
      <t>Leben</t>
    </r>
  </si>
  <si>
    <t>Link zur DWD-Windkarte:</t>
  </si>
  <si>
    <t>(05.12.2019)</t>
  </si>
  <si>
    <t>Zur Bestimmung der durchschnittlichen Windgeschwindigkeiten in der durchgeführten Beispielberechnung, wurde die Windkarte "Rheinland-Pfalz und Saarland" verwendet und der betrachtete Bereich entsprechend vergrößert. Die Darstellung zeigt die Geschwindigkeit in einer Höhe von 10 m über Grund.</t>
  </si>
  <si>
    <t>Zur Lokalisierung des betrachteten Bereiches wurde der Kartenabschnitt der DWD-Windkarte mit einem Kartenabschnitt aus Google-Maps verglichen.</t>
  </si>
  <si>
    <t>Link zum Kartenbereich Google-Maps:</t>
  </si>
  <si>
    <t>Stromgestehungskosten</t>
  </si>
  <si>
    <t>(Annahme)</t>
  </si>
  <si>
    <t>Checkliste zur Standortuntersuchung</t>
  </si>
  <si>
    <t>Ja</t>
  </si>
  <si>
    <t>Nein</t>
  </si>
  <si>
    <t>Hinweis:</t>
  </si>
  <si>
    <t>nach Verbraucherzentrale:</t>
  </si>
  <si>
    <t>Kirterien: Ausfüllen mit "X"</t>
  </si>
  <si>
    <t>X</t>
  </si>
  <si>
    <r>
      <t>Windmessung in Höhe H</t>
    </r>
    <r>
      <rPr>
        <b/>
        <vertAlign val="subscript"/>
        <sz val="11"/>
        <color theme="1"/>
        <rFont val="Calibri"/>
        <family val="2"/>
        <scheme val="minor"/>
      </rPr>
      <t>ref1</t>
    </r>
  </si>
  <si>
    <t>(Durchführung möglichst in Position und Höhe des Rotors)</t>
  </si>
  <si>
    <t>Entweder Höhe in der die Windmessung durchgeführt wurde oder Höhe von 10 m, wenn Daten aus Windkarte DWD</t>
  </si>
  <si>
    <r>
      <t>mittlere Windgeschwindigkeit in der Höhe H</t>
    </r>
    <r>
      <rPr>
        <b/>
        <vertAlign val="subscript"/>
        <sz val="11"/>
        <color theme="1"/>
        <rFont val="Calibri"/>
        <family val="2"/>
        <scheme val="minor"/>
      </rPr>
      <t>Rotor2</t>
    </r>
  </si>
  <si>
    <t>dem Wind entnehmbare Leistung</t>
  </si>
  <si>
    <t xml:space="preserve">Erklärung </t>
  </si>
  <si>
    <t>Quelle</t>
  </si>
  <si>
    <t>als Hilfsmittel zum Abschätzen der Windgeschwindigkeit kann die Beaufort-Skala genutzt werden.
Link zur DWD-Beaufort-Skala:</t>
  </si>
  <si>
    <t>(siehe Tabellenblatt "1_Cockpit")</t>
  </si>
  <si>
    <t>Nutzungshinweise:</t>
  </si>
  <si>
    <t>Der Wert beschreibt den jährlichen Stromverbrauch in kWh. Für die Rechnung mit geschätzten Daten wurden exemplarische Werte des statistischen Bundesamtes herangezogen. Die Werte beschreiben den Stromverbauch nach Haushaltsgröße für das Jahr 2017:
1-Personen-Haushalt: 2.005 kWh/a
2-Personen-Haushalt: 3.205 kWh/a
3-Personen-Haushalt: 4.856 kWh/a</t>
  </si>
  <si>
    <t>Der Wert beschreibt die Strompreise in Cent/kWh. Für die Rechnung mit geschätzten Daten wurden exemplarische Werte vom Statistik-Portal Statisa.com herangezogen. Für das Jahr 2018 wurden folgende Werte auf Basis des Verbauchs angegeben:
1.000 - 2.500 kWh: 33,32 Cent/kWh
2.500 -  5.000 kWh: 29,94 Cent/kWh</t>
  </si>
  <si>
    <t>Der Wert beschreibt die angenommene Strompreissteigerung pro Jahr. Aus Daten des Statistik-Portals Statista geht aus Basis des Zeitraums von 2009 bis 2019 eine Strompreissteigerung von ca. 3% pro Jahr hervor.
Strompreisindex 2009: 136
Strompreisindex 2019: 177
--&gt; 30% in 10 Jahren --&gt; 3% in einem Jahr</t>
  </si>
  <si>
    <r>
      <t>Nennleistung P</t>
    </r>
    <r>
      <rPr>
        <vertAlign val="subscript"/>
        <sz val="11"/>
        <color theme="1"/>
        <rFont val="Calibri"/>
        <family val="2"/>
        <scheme val="minor"/>
      </rPr>
      <t>nenn</t>
    </r>
  </si>
  <si>
    <t>"Als Nennleistung wird die vom Hersteller angegebene Leistung einer Windenergieanlage bezeichnet, die diese umsetzen beziehungsweise generieren kann. Diese maximal mögliche Leistung kann sich von der praktisch erreichten Leistung etwa aufgrund der Windverhältnisse vor Ort unterscheiden." (Bundesverband WindEnergie)</t>
  </si>
  <si>
    <t>https://www.wind-energie.de/glossar-liste/glossar/nennleistung/</t>
  </si>
  <si>
    <r>
      <t>Nennwindgeschwindigkeit v</t>
    </r>
    <r>
      <rPr>
        <vertAlign val="subscript"/>
        <sz val="11"/>
        <color theme="1"/>
        <rFont val="Calibri"/>
        <family val="2"/>
        <scheme val="minor"/>
      </rPr>
      <t>Nenn</t>
    </r>
  </si>
  <si>
    <t>Ab einer bestimmten Windgeschwindigkeit kann die Windkraftanlage die Nennleistung generieren. Diese Windgeschwindigkeit wird als Nennwindgeschwindigkeit bezeichnet.</t>
  </si>
  <si>
    <r>
      <t>Einschaltgeschwindigkeit v</t>
    </r>
    <r>
      <rPr>
        <vertAlign val="subscript"/>
        <sz val="11"/>
        <color theme="1"/>
        <rFont val="Calibri"/>
        <family val="2"/>
        <scheme val="minor"/>
      </rPr>
      <t>Ein</t>
    </r>
  </si>
  <si>
    <t>Abschaltgeschwindigkeit</t>
  </si>
  <si>
    <r>
      <t>Abschaltgeschwindigkeit v</t>
    </r>
    <r>
      <rPr>
        <vertAlign val="subscript"/>
        <sz val="11"/>
        <color theme="1"/>
        <rFont val="Calibri"/>
        <family val="2"/>
        <scheme val="minor"/>
      </rPr>
      <t>Ab</t>
    </r>
  </si>
  <si>
    <r>
      <t>Nabenhöhe/Rotorhöhe H</t>
    </r>
    <r>
      <rPr>
        <vertAlign val="subscript"/>
        <sz val="11"/>
        <color theme="1"/>
        <rFont val="Calibri"/>
        <family val="2"/>
        <scheme val="minor"/>
      </rPr>
      <t>Rotor</t>
    </r>
  </si>
  <si>
    <r>
      <t>Rotordurchmesser d</t>
    </r>
    <r>
      <rPr>
        <vertAlign val="subscript"/>
        <sz val="11"/>
        <color theme="1"/>
        <rFont val="Calibri"/>
        <family val="2"/>
        <scheme val="minor"/>
      </rPr>
      <t>Rotor</t>
    </r>
  </si>
  <si>
    <t>Hau (2016) S. 619</t>
  </si>
  <si>
    <t>vgl. Hau (2016) S. 613 und S. 619</t>
  </si>
  <si>
    <r>
      <t>"Die Einschaltwindgeschwindigkeit v</t>
    </r>
    <r>
      <rPr>
        <vertAlign val="subscript"/>
        <sz val="11"/>
        <color theme="1"/>
        <rFont val="Calibri"/>
        <family val="2"/>
        <scheme val="minor"/>
      </rPr>
      <t>E</t>
    </r>
    <r>
      <rPr>
        <sz val="11"/>
        <color theme="1"/>
        <rFont val="Calibri"/>
        <family val="2"/>
        <scheme val="minor"/>
      </rPr>
      <t xml:space="preserve"> (v</t>
    </r>
    <r>
      <rPr>
        <vertAlign val="subscript"/>
        <sz val="11"/>
        <color theme="1"/>
        <rFont val="Calibri"/>
        <family val="2"/>
        <scheme val="minor"/>
      </rPr>
      <t>Ci</t>
    </r>
    <r>
      <rPr>
        <sz val="11"/>
        <color theme="1"/>
        <rFont val="Calibri"/>
        <family val="2"/>
        <scheme val="minor"/>
      </rPr>
      <t>) [hier v</t>
    </r>
    <r>
      <rPr>
        <vertAlign val="subscript"/>
        <sz val="11"/>
        <color theme="1"/>
        <rFont val="Calibri"/>
        <family val="2"/>
        <scheme val="minor"/>
      </rPr>
      <t>Ein</t>
    </r>
    <r>
      <rPr>
        <sz val="11"/>
        <color theme="1"/>
        <rFont val="Calibri"/>
        <family val="2"/>
        <scheme val="minor"/>
      </rPr>
      <t>, JB] ist die Windgeschwindigkeit, bei der die Anlage
beginnt Leistung abzugeben. Mit anderen Worten, der Rotor muß bereits so viel
Leistung liefern, daß die Verlustleistung im Triebstrang und der Eigenbedarf abgedeckt
sind." (Hau)</t>
    </r>
  </si>
  <si>
    <t>Höhe in m in der sich der Rotor befindet. Da in unterschiedlichen Höhen die Windgeschwindigkeiten variieren, ist es wichtig, dass die Messung der Windgeschwindigkeit in Rotorhöhe durchgeführt wird oder zumindest die Windgeschwindigkeit in Rotorhöhe über die logarithmische Höhenformel bestimmt wird.</t>
  </si>
  <si>
    <t xml:space="preserve">Der Wert beschreibt den Druchmesser des Rotors und beeinflusst die Leistung der Windkraftanlage. </t>
  </si>
  <si>
    <r>
      <t>Leistungsbeiwert C</t>
    </r>
    <r>
      <rPr>
        <vertAlign val="subscript"/>
        <sz val="11"/>
        <color theme="1"/>
        <rFont val="Calibri"/>
        <family val="2"/>
        <scheme val="minor"/>
      </rPr>
      <t>P</t>
    </r>
  </si>
  <si>
    <t>Rauhigkeitslänge</t>
  </si>
  <si>
    <r>
      <t>Rauhigkeitslänge z</t>
    </r>
    <r>
      <rPr>
        <vertAlign val="subscript"/>
        <sz val="11"/>
        <color theme="1"/>
        <rFont val="Calibri"/>
        <family val="2"/>
        <scheme val="minor"/>
      </rPr>
      <t>0</t>
    </r>
  </si>
  <si>
    <t>logarithmischen Höhenformel</t>
  </si>
  <si>
    <t xml:space="preserve">Der Wert beschreibt die Bodenrauhigkeit der Erdoberfläche.
In dem Tool wurden die Daten aus der Rauhigkeitstabelle des Portals wind-data.ch (Suisse Eole – Vereinigung zur Förderung der Windenergie in der Schweiz ) verwendet. </t>
  </si>
  <si>
    <r>
      <t>Windgeschwindigkeit in Rotorhöhe v</t>
    </r>
    <r>
      <rPr>
        <vertAlign val="subscript"/>
        <sz val="11"/>
        <color theme="1"/>
        <rFont val="Calibri"/>
        <family val="2"/>
        <scheme val="minor"/>
      </rPr>
      <t>w2</t>
    </r>
  </si>
  <si>
    <t>Der Wert beschreibt die Windgeschwindigkeit in Rotorhöhe. Dieser Wert ist Basis für die Energieertragsrechnung.</t>
  </si>
  <si>
    <t>Windindex WI</t>
  </si>
  <si>
    <t>http://www.btrdb.de/index.html</t>
  </si>
  <si>
    <t>betrachteter Zeitraum T</t>
  </si>
  <si>
    <t>Der Wert beschreibt den betrachteten Zeitraum in Stunden der Energiebetrachtung. 1 Jahr entspricht 8760 h.</t>
  </si>
  <si>
    <t>Weibull-Verteilung</t>
  </si>
  <si>
    <t xml:space="preserve">https://www.verbraucherzentrale.de/wissen/energie/erneuerbare-energien/kleine-windenergieanlagen-stromerzeugung-in-eigener-hand-10857
</t>
  </si>
  <si>
    <t>https://www.carmen-ev.de/sonne-wind-co/windenergie-neu/kleinwindkraft/1651-wirtschaftlichkeit</t>
  </si>
  <si>
    <t>Luftdichte ρ</t>
  </si>
  <si>
    <t>https://www.dwd.de/DE/service/lexikon/Functions/glossar.html?lv2=101518&amp;lv3=607748</t>
  </si>
  <si>
    <t>https://wind-data.ch/tools/luftdichte.php</t>
  </si>
  <si>
    <r>
      <t>Wechselrichterwirkungsgrad η</t>
    </r>
    <r>
      <rPr>
        <vertAlign val="subscript"/>
        <sz val="11"/>
        <color theme="1"/>
        <rFont val="Calibri"/>
        <family val="2"/>
        <scheme val="minor"/>
      </rPr>
      <t>W</t>
    </r>
  </si>
  <si>
    <r>
      <t>Leitungswirkungsgrad η</t>
    </r>
    <r>
      <rPr>
        <vertAlign val="subscript"/>
        <sz val="11"/>
        <color theme="1"/>
        <rFont val="Calibri"/>
        <family val="2"/>
        <scheme val="minor"/>
      </rPr>
      <t>I</t>
    </r>
  </si>
  <si>
    <r>
      <t>Wirkungsgrad Netzeinspeisung η</t>
    </r>
    <r>
      <rPr>
        <vertAlign val="subscript"/>
        <sz val="11"/>
        <color theme="1"/>
        <rFont val="Calibri"/>
        <family val="2"/>
        <scheme val="minor"/>
      </rPr>
      <t>Netz</t>
    </r>
  </si>
  <si>
    <r>
      <t>Gesamtwirkungsgrad η</t>
    </r>
    <r>
      <rPr>
        <vertAlign val="subscript"/>
        <sz val="11"/>
        <color theme="1"/>
        <rFont val="Calibri"/>
        <family val="2"/>
        <scheme val="minor"/>
      </rPr>
      <t>ges</t>
    </r>
  </si>
  <si>
    <t>Ein praxisnaher Wert für den Leitungswirkungsgrad beträgt 99,5%. Er beschreibt den Verlust durch Kabel.</t>
  </si>
  <si>
    <t>Der Wirkungsgrad beschreibt den Verlust, der bei einer Netzeinspeisung auftritt. Ein praxisnaher Wert wäre 99%. In der Betrachtung wird dieser Wirkungsgrad jedoch vernachlässigt, da er nur bei einer Netzeinspeisung zum Tragen kommt und im vorliegenden Fall die Eigennutzung im Vordergrund steht.</t>
  </si>
  <si>
    <t>Ergibt sich aus dem Produkt der Einzelwirkungsgrade und reduziert den Gesamtenergiebetrag um den Faktor des Wirkungsgrades.</t>
  </si>
  <si>
    <t>Sonkyo Energy
 3.5 KW</t>
  </si>
  <si>
    <t>https://www.wind-energie.de/glossar-liste/glossar/volllaststunden/</t>
  </si>
  <si>
    <t>"Die Zahl der Volllaststunden einer Windenergieanlage ergibt sich bei Division des Jahresenergieertrages durch die Nennleistung." (Bundesverband WindEnergie)</t>
  </si>
  <si>
    <t>Formfaktor  k</t>
  </si>
  <si>
    <t>Skalierungsfaktor A</t>
  </si>
  <si>
    <t xml:space="preserve">Die Weibull-Verteilung ist eine stetige Wahrscheinlichkeitsverteilung, die die Verteilung der Häufigkeiten der einzelnen Windgeschwindigkeiten um eine Durchschnittsgeschwindigkeit beschreibt.
</t>
  </si>
  <si>
    <t>Formel der Weibull-Verteilung</t>
  </si>
  <si>
    <t>Φ =Verteilungsfunktion
e = Basis des natürlichen Logarithmus, e = 2‚781
A = Skalierungsfaktor [m/s]
k = Formparameter [—]</t>
  </si>
  <si>
    <t>nach Hau (2016) S. 573</t>
  </si>
  <si>
    <r>
      <t>Beschreibt den Energieertrag für eine einzelne Windklasse.
Die Formel dazu lautet: E</t>
    </r>
    <r>
      <rPr>
        <vertAlign val="subscript"/>
        <sz val="11"/>
        <color theme="1"/>
        <rFont val="Calibri"/>
        <family val="2"/>
        <scheme val="minor"/>
      </rPr>
      <t>i</t>
    </r>
    <r>
      <rPr>
        <sz val="11"/>
        <color theme="1"/>
        <rFont val="Calibri"/>
        <family val="2"/>
        <scheme val="minor"/>
      </rPr>
      <t>=h</t>
    </r>
    <r>
      <rPr>
        <vertAlign val="subscript"/>
        <sz val="11"/>
        <color theme="1"/>
        <rFont val="Calibri"/>
        <family val="2"/>
        <scheme val="minor"/>
      </rPr>
      <t>i</t>
    </r>
    <r>
      <rPr>
        <sz val="11"/>
        <color theme="1"/>
        <rFont val="Calibri"/>
        <family val="2"/>
        <scheme val="minor"/>
      </rPr>
      <t>∙P</t>
    </r>
    <r>
      <rPr>
        <vertAlign val="subscript"/>
        <sz val="11"/>
        <color theme="1"/>
        <rFont val="Calibri"/>
        <family val="2"/>
        <scheme val="minor"/>
      </rPr>
      <t>i</t>
    </r>
    <r>
      <rPr>
        <sz val="11"/>
        <color theme="1"/>
        <rFont val="Calibri"/>
        <family val="2"/>
        <scheme val="minor"/>
      </rPr>
      <t>∙T
h</t>
    </r>
    <r>
      <rPr>
        <vertAlign val="subscript"/>
        <sz val="11"/>
        <color theme="1"/>
        <rFont val="Calibri"/>
        <family val="2"/>
        <scheme val="minor"/>
      </rPr>
      <t>i</t>
    </r>
    <r>
      <rPr>
        <sz val="11"/>
        <color theme="1"/>
        <rFont val="Calibri"/>
        <family val="2"/>
        <scheme val="minor"/>
      </rPr>
      <t>: relative Häufigkeit einer Klasse i
P</t>
    </r>
    <r>
      <rPr>
        <vertAlign val="subscript"/>
        <sz val="11"/>
        <color theme="1"/>
        <rFont val="Calibri"/>
        <family val="2"/>
        <scheme val="minor"/>
      </rPr>
      <t>i</t>
    </r>
    <r>
      <rPr>
        <sz val="11"/>
        <color theme="1"/>
        <rFont val="Calibri"/>
        <family val="2"/>
        <scheme val="minor"/>
      </rPr>
      <t>: Klassenleistung einer Klasse i
T: betrachteter Zeitraum in Stunden
Abhängig der Betrachtung werden Wirkungsgrade mit eingerechnet.</t>
    </r>
  </si>
  <si>
    <r>
      <t>Gesamtenergieertrag E</t>
    </r>
    <r>
      <rPr>
        <vertAlign val="subscript"/>
        <sz val="11"/>
        <color theme="1"/>
        <rFont val="Calibri"/>
        <family val="2"/>
        <scheme val="minor"/>
      </rPr>
      <t>ges</t>
    </r>
  </si>
  <si>
    <r>
      <t>Klassenenergieertrag E</t>
    </r>
    <r>
      <rPr>
        <vertAlign val="subscript"/>
        <sz val="11"/>
        <color theme="1"/>
        <rFont val="Calibri"/>
        <family val="2"/>
        <scheme val="minor"/>
      </rPr>
      <t>i</t>
    </r>
  </si>
  <si>
    <t>Der Jahresnutzungsgrad beschreibt das Verhältnis aus dem kalkuliertem Jahresenergieertrag zu dem idealen Jahresenergieertrag bei 100% Nennleistung (T=8760 h).</t>
  </si>
  <si>
    <t>https://www.photovoltaik.org/wissen/stromgestehungskosten</t>
  </si>
  <si>
    <t>"Die Stromgestehungskosten umfassen alle Kosten, die für die Erzeugung von Strom durch die erneuerbaren Energien auftreten." (Photovoltaik.org)</t>
  </si>
  <si>
    <t>Link zur Quelle</t>
  </si>
  <si>
    <t>Hinweise:</t>
  </si>
  <si>
    <t>Eine Windmessung am möglichen Standort ist grundsätzlich zu empfehlen!</t>
  </si>
  <si>
    <t>Überstrichene Rotorfläche/Durchströmfläche</t>
  </si>
  <si>
    <r>
      <t>Überstrichene Rotorfläche/Durchströmfläche F</t>
    </r>
    <r>
      <rPr>
        <vertAlign val="subscript"/>
        <sz val="11"/>
        <color theme="1"/>
        <rFont val="Calibri"/>
        <family val="2"/>
        <scheme val="minor"/>
      </rPr>
      <t>rotor</t>
    </r>
  </si>
  <si>
    <t>vorausgesetzte Lebensdauer WKA</t>
  </si>
  <si>
    <t>Tilgungsdauer in Jahren</t>
  </si>
  <si>
    <t>A) Daten Stromkosten/Stromverbrauch</t>
  </si>
  <si>
    <t>A1) Ist-Daten</t>
  </si>
  <si>
    <t>A2) geschätzte Daten</t>
  </si>
  <si>
    <t>B) Strompreissteigerung und Einspreisevergütung</t>
  </si>
  <si>
    <t>C) Winddaten und weitere Daten</t>
  </si>
  <si>
    <t>D) technische Daten der Windkraftanlage</t>
  </si>
  <si>
    <t>E) Kosten der Windkraftanlage</t>
  </si>
  <si>
    <t>E1) Ist-Daten (z.B. angebotsbasiert)</t>
  </si>
  <si>
    <t>E2) geschätzte Daten</t>
  </si>
  <si>
    <t xml:space="preserve">F) Lebensdauer </t>
  </si>
  <si>
    <t>G) Finanzierung</t>
  </si>
  <si>
    <r>
      <t>Relative Häufigkeit der Klasse h</t>
    </r>
    <r>
      <rPr>
        <b/>
        <vertAlign val="subscript"/>
        <sz val="11"/>
        <color theme="1"/>
        <rFont val="Calibri"/>
        <family val="2"/>
        <scheme val="minor"/>
      </rPr>
      <t>i</t>
    </r>
    <r>
      <rPr>
        <b/>
        <sz val="11"/>
        <color theme="1"/>
        <rFont val="Calibri"/>
        <family val="2"/>
        <scheme val="minor"/>
      </rPr>
      <t xml:space="preserve"> </t>
    </r>
  </si>
  <si>
    <r>
      <t>Relative Häufigkeit der Klasse h</t>
    </r>
    <r>
      <rPr>
        <b/>
        <vertAlign val="subscript"/>
        <sz val="11"/>
        <color theme="1"/>
        <rFont val="Calibri"/>
        <family val="2"/>
        <scheme val="minor"/>
      </rPr>
      <t>i</t>
    </r>
    <r>
      <rPr>
        <b/>
        <sz val="11"/>
        <color theme="1"/>
        <rFont val="Calibri"/>
        <family val="2"/>
        <scheme val="minor"/>
      </rPr>
      <t xml:space="preserve"> nach Weibull</t>
    </r>
  </si>
  <si>
    <t>kumulierte Kosten Windkraftanlage [€]</t>
  </si>
  <si>
    <t>Eigenkapital [€]</t>
  </si>
  <si>
    <t xml:space="preserve"> Fremdkapital im Jahr t [€]</t>
  </si>
  <si>
    <t>Abschreibung [€]</t>
  </si>
  <si>
    <t>Fremdkapitalzins [€]</t>
  </si>
  <si>
    <t>Fremdkapitaltilgung [€]</t>
  </si>
  <si>
    <t>Sum Eigenkapital [€]</t>
  </si>
  <si>
    <t>Laufende Kosten [€]</t>
  </si>
  <si>
    <t>Laufende Kosten kumuliert [€]</t>
  </si>
  <si>
    <t>Stromkosten pro Jahr [€]</t>
  </si>
  <si>
    <t>Stromertrag pro Jahr  [€]</t>
  </si>
  <si>
    <t>Bezug öffentliches Netz</t>
  </si>
  <si>
    <t>Windkraftanlage</t>
  </si>
  <si>
    <t>Dropdownfeld</t>
  </si>
  <si>
    <t>Eingabefeld</t>
  </si>
  <si>
    <t>2 Personen</t>
  </si>
  <si>
    <t>(optional)</t>
  </si>
  <si>
    <t xml:space="preserve">Der Wert beschreibt den Vergütungssatz pro kWh für den eingespeisten Ökostrom in das öffentliche Stromnetz. Die Einspeisevergütung ist durch das EEG (Eneuerbare-Energien-Gesetz) geregelt. Dieser Vergütungssatz wird über den Zeitraum von 20 Jahren gewährt. Der Einspeisetarif wird langsam nach unten geregelt. Das heißt er verringert sich bei späterer Inbetriebnahme.
Als Faustformel kann mit Werten um die 8 Cent/kWh gerechnet werden. Im vorliegen Beispiel wurde mit dem Einspeisetarif von 8,29 Cent/kWh auf Basis der Daten der Verbraucherzentrale gerechnet.
</t>
  </si>
  <si>
    <t>vgl. Hau (2016), S. 575</t>
  </si>
  <si>
    <t>Die jährlichen Schwankungen der durchschnittlichen Windgeschwindigkeiten bzw. der Windenergieeträgen wird in sogenannten Windindices beschrieben. Der Windindex WI beschreibt den Windindex im jeweiligen Messjahr. Der Windindex weißt regionale Unterschiede auf und kann beispielsweise beim Betreiber-Datenbasis (BDB) für das entsprechende Jahr und den entsprechenden Standort erworben werden (siehe Link, abgerufen 08.12.2019).</t>
  </si>
  <si>
    <t>weitere Informationen / weiterführende Links</t>
  </si>
  <si>
    <t>"Die Luftdichte (ρ) ist das Verhältnis der Masse eines Luftquantums zu seinem Volumen (normalerweise angegeben in kg pro m³)." (Deutscher Wetterdienst)
Bei Normalatmosphäre beträgt er 1‚225 kg/m3
Die Luftdichte kann beispielsweise auch mit dem online Tool des Suisse Eole berechnet werden (siehe Link, abgerufen 08.12.2019)</t>
  </si>
  <si>
    <t>Deutscher Wetterdienst (abgerufen am 08.12.2019)</t>
  </si>
  <si>
    <t>Der Wirkungsgrad beschreibt den Verlust, der bei der Umwandlung von Gleichstrom zu Wechselstrom entsteht. 
Im vorliegenden Beispiel wurde der europäische Wirkungsgrad des Wechselrichter Windy Boy 5000TL zur Berechnung herangezogen. Dieser Wirkungsgrad beträgt 96,5%</t>
  </si>
  <si>
    <t>http://files.sma.de/dl/11053/WB3600_5000TL-DDE120632W.pdf</t>
  </si>
  <si>
    <t>vgl. Hau (2016), S. 581</t>
  </si>
  <si>
    <t xml:space="preserve">vgl. Schmelmer (2014), S.30 </t>
  </si>
  <si>
    <t xml:space="preserve">vgl. Schmelmer (2014), S.30 und S.47 </t>
  </si>
  <si>
    <t>http://www.renewable-energy-concepts.com/german/windenergie/wind-basiswissen/weibull-verteilung.html</t>
  </si>
  <si>
    <t>https://wirtschaftslexikon.gabler.de/definition/weibull-verteilung-50977/version-274184</t>
  </si>
  <si>
    <t>vgl. Kamps, 2018 (abgerufen am 08.12.2019)</t>
  </si>
  <si>
    <t>vgl. Renewable Energy Concepts (abgerufen am 08.12.2019)</t>
  </si>
  <si>
    <t>vgl. SMA (2012) (abgerufen am 08.12.2019)</t>
  </si>
  <si>
    <t>vgl. Statista, 2019 (abgerufen am 08.12.2019)</t>
  </si>
  <si>
    <t>vgl. Centrales Agrar-Rohstoff Marketing- und Energie-Netzwerk e.V. (abgerufen am 08.12.2019)</t>
  </si>
  <si>
    <t>vgl. Statistisches Bundesamt, 2019 (abgerufen am 08.12.2019)</t>
  </si>
  <si>
    <t xml:space="preserve">https://wind-data.ch/tools/weibull.php
</t>
  </si>
  <si>
    <t>http://www.solarzentrum-mv.de/preview/lernplattform/534347979a0051203/534347979a118ea02/53434797ab0a6fd0d/53434797ab0a6fd0f/Grundkurs%20Windenergie.PDF</t>
  </si>
  <si>
    <t>Bundesverband WindEnergie (abgerufen am 08.12.2019)</t>
  </si>
  <si>
    <t xml:space="preserve">Die Überstrichene Rotorfläche ergibt sich aus dem Durchmesser des Rotors und berechnet sich über die Formel des Flächeninhaltes.
</t>
  </si>
  <si>
    <t>F=(π*d2)/4</t>
  </si>
  <si>
    <t>ub.de Fachwissen GmbH (abgerufen 08.12.2019)</t>
  </si>
  <si>
    <t>vgl. Schmelmer (2014), S.24</t>
  </si>
  <si>
    <t>vgl. Hau (2016), S.638  und Schmelmer (2014), S.24</t>
  </si>
  <si>
    <t xml:space="preserve">vgl. Hau (2016), S. 560 </t>
  </si>
  <si>
    <r>
      <t>Der Gesamtenergieertag resultiert aus dem Aufsummieren der einzelnen Klassenerträge E</t>
    </r>
    <r>
      <rPr>
        <vertAlign val="subscript"/>
        <sz val="11"/>
        <color theme="1"/>
        <rFont val="Calibri"/>
        <family val="2"/>
        <scheme val="minor"/>
      </rPr>
      <t>i</t>
    </r>
    <r>
      <rPr>
        <sz val="11"/>
        <color theme="1"/>
        <rFont val="Calibri"/>
        <family val="2"/>
        <scheme val="minor"/>
      </rPr>
      <t>.
η: Wirkungsgrad</t>
    </r>
  </si>
  <si>
    <r>
      <t>Die Leistung des Windes bei Luftdichte ρ, Luftdurchströmterfläche F und Windgeschwindigkeit v</t>
    </r>
    <r>
      <rPr>
        <vertAlign val="subscript"/>
        <sz val="11"/>
        <color theme="1"/>
        <rFont val="Calibri"/>
        <family val="2"/>
        <scheme val="minor"/>
      </rPr>
      <t>w</t>
    </r>
    <r>
      <rPr>
        <sz val="11"/>
        <color theme="1"/>
        <rFont val="Calibri"/>
        <family val="2"/>
        <scheme val="minor"/>
      </rPr>
      <t>.
ρ: Liftdichte
F: Luftdurchströmte Fläche
v</t>
    </r>
    <r>
      <rPr>
        <vertAlign val="subscript"/>
        <sz val="11"/>
        <color theme="1"/>
        <rFont val="Calibri"/>
        <family val="2"/>
        <scheme val="minor"/>
      </rPr>
      <t>w</t>
    </r>
    <r>
      <rPr>
        <sz val="11"/>
        <color theme="1"/>
        <rFont val="Calibri"/>
        <family val="2"/>
        <scheme val="minor"/>
      </rPr>
      <t>: Windgeschwindigkeit</t>
    </r>
  </si>
  <si>
    <t xml:space="preserve">vgl. Hau (2016), S. 575 </t>
  </si>
  <si>
    <t>vgl. Jüttemann (abgerufen am 08.12.2019)</t>
  </si>
  <si>
    <t>Die Lebensdauer beschreibt die technische Lebensdauer der Windkraftanlage in Jahren. Die Lebensdauer beträgt in der Regel 10-20 Jahre.
Die Lebensdauer ist beispielsweise abhängig von Wartung, der Qualität der Anlage und dem Standort.</t>
  </si>
  <si>
    <t>Zu den Betriebskosten zählen Kosten, die im laufenden Betrieb wiederkehrend anfallen. Das sind z.B. Wartungs- und Instandhaltungskosten sowie Versicherungskosten.
Als Richtwert für die jährlichen Betriebskosten können 2-3% der Investitionskosten angenommen werden.</t>
  </si>
  <si>
    <r>
      <t>"Die physikalisch maximale Umwandlung von Wind- in Rotorleistung
und damit der Anteil der dem Wind theoretisch maximal entziehbaren zu der im ungestörten
Wind enthaltenen Leistung wird durch den theoretischen Leistungsbeiwert c</t>
    </r>
    <r>
      <rPr>
        <vertAlign val="subscript"/>
        <sz val="11"/>
        <color theme="1"/>
        <rFont val="Calibri"/>
        <family val="2"/>
        <scheme val="minor"/>
      </rPr>
      <t>p,th</t>
    </r>
    <r>
      <rPr>
        <sz val="11"/>
        <color theme="1"/>
        <rFont val="Calibri"/>
        <family val="2"/>
        <scheme val="minor"/>
      </rPr>
      <t xml:space="preserve">
beschrieben." (Kaltschmitt)
Der ideale Leistungsbeiwert beträgt c</t>
    </r>
    <r>
      <rPr>
        <vertAlign val="subscript"/>
        <sz val="11"/>
        <color theme="1"/>
        <rFont val="Calibri"/>
        <family val="2"/>
        <scheme val="minor"/>
      </rPr>
      <t>p</t>
    </r>
    <r>
      <rPr>
        <sz val="11"/>
        <color theme="1"/>
        <rFont val="Calibri"/>
        <family val="2"/>
        <scheme val="minor"/>
      </rPr>
      <t>= 16/27 = 0,593; Für einen Dreiblattrotor kann ein Leistungsbeiwert von c</t>
    </r>
    <r>
      <rPr>
        <vertAlign val="subscript"/>
        <sz val="11"/>
        <color theme="1"/>
        <rFont val="Calibri"/>
        <family val="2"/>
        <scheme val="minor"/>
      </rPr>
      <t>p</t>
    </r>
    <r>
      <rPr>
        <sz val="11"/>
        <color theme="1"/>
        <rFont val="Calibri"/>
        <family val="2"/>
        <scheme val="minor"/>
      </rPr>
      <t>= 0,4 - 0,5 angenommen werden.</t>
    </r>
  </si>
  <si>
    <r>
      <t>Berechnung v</t>
    </r>
    <r>
      <rPr>
        <b/>
        <i/>
        <u/>
        <vertAlign val="subscript"/>
        <sz val="11"/>
        <color theme="10"/>
        <rFont val="Calibri"/>
        <family val="2"/>
        <scheme val="minor"/>
      </rPr>
      <t>w</t>
    </r>
    <r>
      <rPr>
        <b/>
        <i/>
        <u/>
        <sz val="11"/>
        <color theme="10"/>
        <rFont val="Calibri"/>
        <family val="2"/>
        <scheme val="minor"/>
      </rPr>
      <t xml:space="preserve"> in Rotorhöhe mit Hilfe der logarithmischen Höhenformel</t>
    </r>
  </si>
  <si>
    <t>Überstrichene Rotorfläche</t>
  </si>
  <si>
    <t>(siehe Häufigkeitsverteilung Weibull, Rechnung Windkarte)</t>
  </si>
  <si>
    <t>(nur im Fall der Netzeinspeisung)</t>
  </si>
  <si>
    <t>(in der Regel 1 a = 8760 h)</t>
  </si>
  <si>
    <t>(bei Normalatmosphäre: 1‚225 kg/m3)</t>
  </si>
  <si>
    <r>
      <rPr>
        <b/>
        <sz val="11"/>
        <color theme="10"/>
        <rFont val="Calibri"/>
        <family val="2"/>
        <scheme val="minor"/>
      </rPr>
      <t>Links</t>
    </r>
    <r>
      <rPr>
        <u/>
        <sz val="11"/>
        <color theme="10"/>
        <rFont val="Calibri"/>
        <family val="2"/>
        <scheme val="minor"/>
      </rPr>
      <t xml:space="preserve"> zu weiteren </t>
    </r>
    <r>
      <rPr>
        <b/>
        <i/>
        <sz val="11"/>
        <color theme="10"/>
        <rFont val="Calibri"/>
        <family val="2"/>
        <scheme val="minor"/>
      </rPr>
      <t xml:space="preserve">Informationen </t>
    </r>
  </si>
  <si>
    <t>dem Wind entnehmbare Leistung pro Klasse PW</t>
  </si>
  <si>
    <t>Klassenenergieertrag nach relativer Häufigkeit der vW</t>
  </si>
  <si>
    <r>
      <t>F</t>
    </r>
    <r>
      <rPr>
        <b/>
        <vertAlign val="subscript"/>
        <sz val="11"/>
        <color theme="1"/>
        <rFont val="Calibri"/>
        <family val="2"/>
        <scheme val="minor"/>
      </rPr>
      <t>Rotor</t>
    </r>
  </si>
  <si>
    <r>
      <t>F</t>
    </r>
    <r>
      <rPr>
        <vertAlign val="subscript"/>
        <sz val="11"/>
        <color theme="1"/>
        <rFont val="Calibri"/>
        <family val="2"/>
        <scheme val="minor"/>
      </rPr>
      <t>Rotor</t>
    </r>
  </si>
  <si>
    <r>
      <t>Gesamtenergieertrag nach Berücksichtigung des Wirkungsgrad η</t>
    </r>
    <r>
      <rPr>
        <b/>
        <vertAlign val="subscript"/>
        <sz val="11"/>
        <color theme="10"/>
        <rFont val="Calibri"/>
        <family val="2"/>
        <scheme val="minor"/>
      </rPr>
      <t>ges</t>
    </r>
  </si>
  <si>
    <r>
      <t>Gesamtenergieertrag nach Berücksichtigung η</t>
    </r>
    <r>
      <rPr>
        <b/>
        <vertAlign val="subscript"/>
        <sz val="11"/>
        <color theme="10"/>
        <rFont val="Calibri"/>
        <family val="2"/>
        <scheme val="minor"/>
      </rPr>
      <t>ges</t>
    </r>
  </si>
  <si>
    <t>(wird automatisch maximiert)</t>
  </si>
  <si>
    <t>(siehe "5_Ertrag")</t>
  </si>
  <si>
    <t>(bezieht sich auf das erste Ertragsjahr)</t>
  </si>
  <si>
    <t>1) Freie Anströmung aus westlicher Richtung (Hauptwindrichtung)?</t>
  </si>
  <si>
    <t>3) Rotorhöhe möglichst doppelt so hoch wie die Nachbargebäude?</t>
  </si>
  <si>
    <t>4) Abstand von hohen Hindernissen: min. das 20-fache der Höhe des Hindernisses?</t>
  </si>
  <si>
    <t>https://www.windbranche.de/wirtschaft/eeg-verguetung/eeg-festverguetung</t>
  </si>
  <si>
    <t>https://www.google.de/maps/place/St.+Wendel/@49.4983011,7.0104763,12.5z/data=!4m5!3m4!1s0x479594575eeef435:0x51ce68dd092c7658!8m2!3d49.5141602!4d7.1028894</t>
  </si>
  <si>
    <t>(09.12.2019)</t>
  </si>
  <si>
    <t>"Die Windkarten des Deutschen Wetterdienstes zeigen die mittleren jährlichen Windverhältnisse in ganz Deutschland, in einzelnen Bundesländern bzw. für Nord- und Ostsee. Die Windkarten wurden für Höhen von 10 m und von 80 m über Grund mit feiner Auflösung von bis zu 200 m berechnet." (Deutscher Wetterdienst)</t>
  </si>
  <si>
    <t>(Empfohlene Dauer mindestens ein Jahr)</t>
  </si>
  <si>
    <r>
      <t>Die logarithmische Höhenformel ist ein üblicher Ansatz zur Bestimmung des Höhenprofils der Geschwindigkeitszunahme.
z</t>
    </r>
    <r>
      <rPr>
        <vertAlign val="subscript"/>
        <sz val="11"/>
        <color theme="1"/>
        <rFont val="Calibri"/>
        <family val="2"/>
        <scheme val="minor"/>
      </rPr>
      <t>0</t>
    </r>
    <r>
      <rPr>
        <sz val="11"/>
        <color theme="1"/>
        <rFont val="Calibri"/>
        <family val="2"/>
        <scheme val="minor"/>
      </rPr>
      <t xml:space="preserve"> = Rauhigkeitslänge z</t>
    </r>
    <r>
      <rPr>
        <vertAlign val="subscript"/>
        <sz val="11"/>
        <color theme="1"/>
        <rFont val="Calibri"/>
        <family val="2"/>
        <scheme val="minor"/>
      </rPr>
      <t>0</t>
    </r>
    <r>
      <rPr>
        <sz val="11"/>
        <color theme="1"/>
        <rFont val="Calibri"/>
        <family val="2"/>
        <scheme val="minor"/>
      </rPr>
      <t xml:space="preserve">
ln = Natürlicher Logarithmus (Basis e = 2‚7183)
v</t>
    </r>
    <r>
      <rPr>
        <vertAlign val="subscript"/>
        <sz val="11"/>
        <color theme="1"/>
        <rFont val="Calibri"/>
        <family val="2"/>
        <scheme val="minor"/>
      </rPr>
      <t>H</t>
    </r>
    <r>
      <rPr>
        <sz val="11"/>
        <color theme="1"/>
        <rFont val="Calibri"/>
        <family val="2"/>
        <scheme val="minor"/>
      </rPr>
      <t xml:space="preserve"> = mittlere Windgeschwindigkeit in der Höhe H (m/s)
v</t>
    </r>
    <r>
      <rPr>
        <vertAlign val="subscript"/>
        <sz val="11"/>
        <color theme="1"/>
        <rFont val="Calibri"/>
        <family val="2"/>
        <scheme val="minor"/>
      </rPr>
      <t>ref</t>
    </r>
    <r>
      <rPr>
        <sz val="11"/>
        <color theme="1"/>
        <rFont val="Calibri"/>
        <family val="2"/>
        <scheme val="minor"/>
      </rPr>
      <t xml:space="preserve"> = mittlere Windgeschwindigkeit in der Referenzhöhe Href (m/s)
H = Höhe (m)
H</t>
    </r>
    <r>
      <rPr>
        <vertAlign val="subscript"/>
        <sz val="11"/>
        <color theme="1"/>
        <rFont val="Calibri"/>
        <family val="2"/>
        <scheme val="minor"/>
      </rPr>
      <t>ref</t>
    </r>
    <r>
      <rPr>
        <sz val="11"/>
        <color theme="1"/>
        <rFont val="Calibri"/>
        <family val="2"/>
        <scheme val="minor"/>
      </rPr>
      <t xml:space="preserve"> = Referenzhöhe (Meßhöhe) (m)
</t>
    </r>
  </si>
  <si>
    <t>vgl. ENCO Energie-Consulting AG (abgerufen am 08.12.2019)</t>
  </si>
  <si>
    <t>ENCO Energie-Consulting AG (abgerufen am 08.12.2019)</t>
  </si>
  <si>
    <t>1,6000 m: Großstädte mit hohen Gebäuden und Wolkenkratzer (4)</t>
  </si>
  <si>
    <t>0,6000 m: Größere Städte mit hohen Gebäuden (3,5)</t>
  </si>
  <si>
    <t>0,4000 m: Dörfer, Kleinstädte, landwirtschaftliches Gelände mit vielen oder hohen Hecken, Wäldern und sehr raues und unebenes Terrain (3)</t>
  </si>
  <si>
    <t>0,2000 m: Landwirtschaftliches Gelände mit vielen Häusern, Büschen und Pflanzen, oder 8 m hohe Hecken im Abstand von ca. 250 m (2,5)</t>
  </si>
  <si>
    <t>0,1000 m: Landwirtschaftliches Gelände mit einigen Häusern und 8 Meter hohen Hecken im Abstand von ca. 500 m (2)</t>
  </si>
  <si>
    <t>0,0550 m: Landwirtschaftliches Gelände mit einigen Häusern und 8 m hohen Hecken im Abstand von mehr als 1 km (1,5)</t>
  </si>
  <si>
    <t>0,0300 m: Offenes landwirtschaftliches Gelände ohne Zäune und Hecken, evtl. mit weitläufig verstreuten Gebäuden und sehr sanfte Hügel (1)</t>
  </si>
  <si>
    <t>0,0024 m: Offenes Gelände mit glatter Oberfläche, z.B. Beton, Landebahnen auf Flughäfen, gemähtes Gras etc. (0,5)</t>
  </si>
  <si>
    <t>0,0002 m: Wasserflächen: Meer und Seen (0)</t>
  </si>
  <si>
    <t xml:space="preserve">"k ist der Weibull-Formfaktor. Er gibt die Form der Verteilung an und nimmt einen Wert zwischen 1 und 3 an. Ein kleiner k-Wert bedeutet sehr variable Winde, während konstante Winde einen grösseren k-Wert ergeben." (ENCO Energie-Consulting AG)
</t>
  </si>
  <si>
    <t>"A ist der Weibull-Skalierungsfaktor in m/s, ein Maß für die der Zeitreihe charakterisierende Windgeschwindigkeit. A ist proportional zum Mittelwert der Windgeschwindigkeit." (ENCO Energie-Consulting AG)
A = (2/Wurzel(pi))*v</t>
  </si>
  <si>
    <t>(idealer Beiwert nach Betz: 0,593)</t>
  </si>
  <si>
    <r>
      <t>"Die Abschaltwindgeschwindigkeit v</t>
    </r>
    <r>
      <rPr>
        <vertAlign val="subscript"/>
        <sz val="11"/>
        <color theme="1"/>
        <rFont val="Calibri"/>
        <family val="2"/>
        <scheme val="minor"/>
      </rPr>
      <t>A</t>
    </r>
    <r>
      <rPr>
        <sz val="11"/>
        <color theme="1"/>
        <rFont val="Calibri"/>
        <family val="2"/>
        <scheme val="minor"/>
      </rPr>
      <t xml:space="preserve"> (v</t>
    </r>
    <r>
      <rPr>
        <vertAlign val="subscript"/>
        <sz val="11"/>
        <color theme="1"/>
        <rFont val="Calibri"/>
        <family val="2"/>
        <scheme val="minor"/>
      </rPr>
      <t>CO</t>
    </r>
    <r>
      <rPr>
        <sz val="11"/>
        <color theme="1"/>
        <rFont val="Calibri"/>
        <family val="2"/>
        <scheme val="minor"/>
      </rPr>
      <t>) [hier v</t>
    </r>
    <r>
      <rPr>
        <vertAlign val="subscript"/>
        <sz val="11"/>
        <color theme="1"/>
        <rFont val="Calibri"/>
        <family val="2"/>
        <scheme val="minor"/>
      </rPr>
      <t>Ab</t>
    </r>
    <r>
      <rPr>
        <sz val="11"/>
        <color theme="1"/>
        <rFont val="Calibri"/>
        <family val="2"/>
        <scheme val="minor"/>
      </rPr>
      <t>, JB] ist die höchste Windgeschwindigkeit, bei der
die Anlage mit Leistungsabgabe betrieben werden darf." (Hau)</t>
    </r>
  </si>
  <si>
    <t>Windkraftanlage / Windgenerator</t>
  </si>
  <si>
    <t>vgl. Verbraucherzentrale, 2017 (abgerufen am 08.12.2019)</t>
  </si>
  <si>
    <t>Darunter fallen alle Kosten, die zur Anschaffung der Investition nötig sind. Das sind im vorliegenden Fall beispielsweise Kosten für die Windkraftanlage, den Mast/den Turm, die Infrastruktur, den Wechselrichter, die Planung und Beratung, Projektierung / Genehmigung oder die Windmessung.
Zur Wirtschaftlichkeitsrechnung können entweder konkrete Kosten z.B. aus einem Angebot oder Preislisten verwendet werden oder es können geschätzte Kosten genutzt werden.
Als Abschätzung für die Kosten können Werte zwischen 3.000 € und 9.000 € pro kW für eine schlüsselfertige Anlage angenommen werden.
Kosten Windkraftanlage 3.000 € - 9.000 € kW --&gt; 5.000 €</t>
  </si>
  <si>
    <t>H) Energieüberschuss / -defizit</t>
  </si>
  <si>
    <t>I) Ertrag Einspeisung / Kosten Deckungsdefizit</t>
  </si>
  <si>
    <t>(Versicherung, Wartung etc.)</t>
  </si>
  <si>
    <t>Schlütter &amp; Kaltschmitt (2014) S.457 f. und Özdirk, Kaltschmitt, Skiba &amp; Schulz (2014) S.507 und Hau (2016) S.89</t>
  </si>
  <si>
    <t>vgl. Heier (2005) S.382</t>
  </si>
  <si>
    <t xml:space="preserve">vgl. Schmidt (abgerufen am 08.12.2019) </t>
  </si>
  <si>
    <t>(23.12.2019)</t>
  </si>
  <si>
    <t>z.B. 4,0 m/s für Standort Schaumberg (PLZ 66636); Achtung, in erster Linie lediglich für erste Einschätzung zu nutzen; eine Windmessung ist zu bevorzugen!</t>
  </si>
  <si>
    <t>übernommen aus "3_Checkliste_Windmessung"</t>
  </si>
  <si>
    <t>Volllaststunden [h]</t>
  </si>
  <si>
    <t>2) Mittlere Windgeschwindigkeit in Rotorhöhe: min. 4 Meter pro Sekunde (m/s)?</t>
  </si>
  <si>
    <t>Datenbasis: Deutscher Wetterdienst (2004), eigene Elemente ergänzt und Google Maps (2019)</t>
  </si>
  <si>
    <t xml:space="preserve">(5.000 €/kW, </t>
  </si>
  <si>
    <t>bei Kleinwindkraftanlagen: &lt; 100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</si>
</sst>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164" formatCode="0.0%"/>
    <numFmt numFmtId="165" formatCode="0.00&quot; m/s&quot;"/>
    <numFmt numFmtId="166" formatCode="0.0&quot; W&quot;"/>
    <numFmt numFmtId="167" formatCode="0.0&quot; kWh&quot;"/>
    <numFmt numFmtId="168" formatCode="0.0"/>
    <numFmt numFmtId="169" formatCode="0.000"/>
    <numFmt numFmtId="170" formatCode="0.0000"/>
    <numFmt numFmtId="171" formatCode="&quot;Installation + &quot;0\ \ "/>
    <numFmt numFmtId="172" formatCode="&quot;Basis der Winddaten&quot;\ 0"/>
    <numFmt numFmtId="173" formatCode="#,##0.0"/>
  </numFmts>
  <fonts count="29" x14ac:knownFonts="1">
    <font>
      <sz val="11"/>
      <color theme="1"/>
      <name val="Calibri"/>
      <family val="2"/>
      <scheme val="minor"/>
    </font>
    <font>
      <u/>
      <sz val="11"/>
      <color theme="10"/>
      <name val="Calibri"/>
      <family val="2"/>
      <scheme val="minor"/>
    </font>
    <font>
      <vertAlign val="subscript"/>
      <sz val="11"/>
      <color theme="1"/>
      <name val="Calibri"/>
      <family val="2"/>
      <scheme val="minor"/>
    </font>
    <font>
      <vertAlign val="superscrip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font>
    <font>
      <i/>
      <sz val="11"/>
      <color theme="1"/>
      <name val="Calibri"/>
      <family val="2"/>
      <scheme val="minor"/>
    </font>
    <font>
      <b/>
      <sz val="18"/>
      <color theme="1"/>
      <name val="Calibri"/>
      <family val="2"/>
      <scheme val="minor"/>
    </font>
    <font>
      <b/>
      <i/>
      <sz val="11"/>
      <color theme="1"/>
      <name val="Calibri"/>
      <family val="2"/>
      <scheme val="minor"/>
    </font>
    <font>
      <b/>
      <sz val="13"/>
      <name val="Calibri"/>
      <family val="2"/>
      <scheme val="minor"/>
    </font>
    <font>
      <b/>
      <vertAlign val="subscript"/>
      <sz val="11"/>
      <color theme="1"/>
      <name val="Calibri"/>
      <family val="2"/>
      <scheme val="minor"/>
    </font>
    <font>
      <b/>
      <u/>
      <sz val="11"/>
      <color theme="1"/>
      <name val="Calibri"/>
      <family val="2"/>
      <scheme val="minor"/>
    </font>
    <font>
      <b/>
      <i/>
      <sz val="11"/>
      <color theme="10"/>
      <name val="Calibri"/>
      <family val="2"/>
      <scheme val="minor"/>
    </font>
    <font>
      <sz val="9"/>
      <color indexed="81"/>
      <name val="Segoe UI"/>
      <family val="2"/>
    </font>
    <font>
      <b/>
      <sz val="9"/>
      <color indexed="81"/>
      <name val="Segoe UI"/>
      <family val="2"/>
    </font>
    <font>
      <b/>
      <sz val="11"/>
      <name val="Calibri"/>
      <family val="2"/>
      <scheme val="minor"/>
    </font>
    <font>
      <i/>
      <u/>
      <sz val="11"/>
      <color theme="1"/>
      <name val="Calibri"/>
      <family val="2"/>
      <scheme val="minor"/>
    </font>
    <font>
      <b/>
      <i/>
      <u/>
      <sz val="11"/>
      <color theme="1"/>
      <name val="Calibri"/>
      <family val="2"/>
      <scheme val="minor"/>
    </font>
    <font>
      <sz val="9"/>
      <color theme="1"/>
      <name val="Calibri"/>
      <family val="2"/>
      <scheme val="minor"/>
    </font>
    <font>
      <u/>
      <sz val="9"/>
      <color theme="10"/>
      <name val="Calibri"/>
      <family val="2"/>
      <scheme val="minor"/>
    </font>
    <font>
      <b/>
      <sz val="11"/>
      <color rgb="FFFF0000"/>
      <name val="Calibri"/>
      <family val="2"/>
      <scheme val="minor"/>
    </font>
    <font>
      <b/>
      <u/>
      <sz val="12"/>
      <color theme="1"/>
      <name val="Calibri"/>
      <family val="2"/>
      <scheme val="minor"/>
    </font>
    <font>
      <b/>
      <sz val="12"/>
      <name val="Calibri"/>
      <family val="2"/>
      <scheme val="minor"/>
    </font>
    <font>
      <b/>
      <sz val="12"/>
      <color theme="1"/>
      <name val="Calibri"/>
      <family val="2"/>
      <scheme val="minor"/>
    </font>
    <font>
      <b/>
      <sz val="11"/>
      <color theme="10"/>
      <name val="Calibri"/>
      <family val="2"/>
      <scheme val="minor"/>
    </font>
    <font>
      <b/>
      <i/>
      <u/>
      <sz val="11"/>
      <color theme="10"/>
      <name val="Calibri"/>
      <family val="2"/>
      <scheme val="minor"/>
    </font>
    <font>
      <b/>
      <i/>
      <u/>
      <vertAlign val="subscript"/>
      <sz val="11"/>
      <color theme="10"/>
      <name val="Calibri"/>
      <family val="2"/>
      <scheme val="minor"/>
    </font>
    <font>
      <b/>
      <vertAlign val="subscript"/>
      <sz val="11"/>
      <color theme="1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theme="7"/>
        <bgColor indexed="64"/>
      </patternFill>
    </fill>
    <fill>
      <patternFill patternType="solid">
        <fgColor theme="8" tint="0.59999389629810485"/>
        <bgColor indexed="64"/>
      </patternFill>
    </fill>
    <fill>
      <patternFill patternType="solid">
        <fgColor rgb="FFECF5E7"/>
        <bgColor indexed="64"/>
      </patternFill>
    </fill>
    <fill>
      <patternFill patternType="solid">
        <fgColor rgb="FFFFC000"/>
        <bgColor indexed="64"/>
      </patternFill>
    </fill>
  </fills>
  <borders count="17">
    <border>
      <left/>
      <right/>
      <top/>
      <bottom/>
      <diagonal/>
    </border>
    <border>
      <left/>
      <right/>
      <top/>
      <bottom style="thick">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bottom style="medium">
        <color indexed="64"/>
      </bottom>
      <diagonal/>
    </border>
  </borders>
  <cellStyleXfs count="9">
    <xf numFmtId="0" fontId="0" fillId="0" borderId="0"/>
    <xf numFmtId="0" fontId="1" fillId="0" borderId="0" applyNumberFormat="0" applyFill="0" applyBorder="0" applyAlignment="0" applyProtection="0"/>
    <xf numFmtId="9" fontId="4" fillId="0" borderId="0" applyFont="0" applyFill="0" applyBorder="0" applyAlignment="0" applyProtection="0"/>
    <xf numFmtId="0" fontId="7" fillId="3" borderId="0"/>
    <xf numFmtId="0" fontId="10" fillId="0" borderId="1"/>
    <xf numFmtId="0" fontId="9" fillId="4" borderId="0"/>
    <xf numFmtId="0" fontId="4" fillId="6" borderId="0"/>
    <xf numFmtId="9" fontId="4" fillId="6" borderId="0"/>
    <xf numFmtId="164" fontId="7" fillId="3" borderId="13"/>
  </cellStyleXfs>
  <cellXfs count="393">
    <xf numFmtId="0" fontId="0" fillId="0" borderId="0" xfId="0"/>
    <xf numFmtId="0" fontId="0" fillId="0" borderId="0" xfId="0" applyAlignment="1">
      <alignment horizontal="left" vertical="center" indent="1"/>
    </xf>
    <xf numFmtId="0" fontId="1" fillId="0" borderId="0" xfId="1"/>
    <xf numFmtId="0" fontId="0" fillId="0" borderId="0" xfId="0" applyFont="1"/>
    <xf numFmtId="0" fontId="0" fillId="2" borderId="0" xfId="0" applyFill="1"/>
    <xf numFmtId="2" fontId="0" fillId="0" borderId="0" xfId="0" applyNumberFormat="1"/>
    <xf numFmtId="164" fontId="0" fillId="0" borderId="0" xfId="2" applyNumberFormat="1" applyFont="1"/>
    <xf numFmtId="0" fontId="0" fillId="0" borderId="0" xfId="0" applyAlignment="1">
      <alignment wrapText="1"/>
    </xf>
    <xf numFmtId="9" fontId="0" fillId="0" borderId="0" xfId="2" applyFont="1"/>
    <xf numFmtId="44" fontId="0" fillId="0" borderId="0" xfId="0" applyNumberFormat="1"/>
    <xf numFmtId="165" fontId="0" fillId="0" borderId="0" xfId="0" applyNumberFormat="1"/>
    <xf numFmtId="167" fontId="0" fillId="0" borderId="0" xfId="0" applyNumberFormat="1"/>
    <xf numFmtId="167" fontId="5" fillId="0" borderId="0" xfId="0" applyNumberFormat="1" applyFont="1"/>
    <xf numFmtId="0" fontId="0" fillId="0" borderId="0" xfId="0" applyNumberFormat="1"/>
    <xf numFmtId="0" fontId="5" fillId="0" borderId="0" xfId="0" applyFont="1"/>
    <xf numFmtId="0" fontId="0" fillId="0" borderId="0" xfId="0" applyFill="1"/>
    <xf numFmtId="0" fontId="0" fillId="0" borderId="0" xfId="0" applyFill="1" applyAlignment="1">
      <alignment horizontal="left" vertical="center" indent="1"/>
    </xf>
    <xf numFmtId="165" fontId="0" fillId="0" borderId="0" xfId="0" applyNumberFormat="1" applyFill="1"/>
    <xf numFmtId="170" fontId="0" fillId="0" borderId="0" xfId="0" applyNumberFormat="1"/>
    <xf numFmtId="0" fontId="0" fillId="0" borderId="12" xfId="0" applyBorder="1"/>
    <xf numFmtId="0" fontId="0" fillId="0" borderId="13" xfId="0" applyBorder="1"/>
    <xf numFmtId="0" fontId="0" fillId="0" borderId="14" xfId="0" applyBorder="1"/>
    <xf numFmtId="2" fontId="0" fillId="0" borderId="2" xfId="0" applyNumberFormat="1" applyBorder="1" applyAlignment="1">
      <alignment horizontal="center" vertical="center"/>
    </xf>
    <xf numFmtId="0" fontId="5" fillId="0" borderId="0" xfId="0" applyNumberFormat="1" applyFont="1"/>
    <xf numFmtId="0" fontId="5" fillId="5" borderId="10"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0" fillId="5" borderId="8" xfId="0" applyFill="1" applyBorder="1" applyAlignment="1">
      <alignment vertical="center" wrapText="1"/>
    </xf>
    <xf numFmtId="0" fontId="0" fillId="5" borderId="6" xfId="0" applyFill="1" applyBorder="1" applyAlignment="1">
      <alignment vertical="center" wrapText="1"/>
    </xf>
    <xf numFmtId="165" fontId="0" fillId="0" borderId="14" xfId="0" applyNumberFormat="1" applyBorder="1"/>
    <xf numFmtId="165" fontId="0" fillId="0" borderId="12" xfId="0" applyNumberFormat="1" applyBorder="1"/>
    <xf numFmtId="165" fontId="0" fillId="0" borderId="3" xfId="0" applyNumberFormat="1" applyBorder="1"/>
    <xf numFmtId="165" fontId="0" fillId="0" borderId="8" xfId="0" applyNumberFormat="1" applyBorder="1"/>
    <xf numFmtId="166" fontId="0" fillId="0" borderId="14" xfId="0" applyNumberFormat="1" applyBorder="1"/>
    <xf numFmtId="166" fontId="0" fillId="0" borderId="12" xfId="0" applyNumberFormat="1" applyBorder="1"/>
    <xf numFmtId="166" fontId="0" fillId="0" borderId="13" xfId="0" applyNumberFormat="1" applyBorder="1"/>
    <xf numFmtId="167" fontId="0" fillId="0" borderId="14" xfId="0" applyNumberFormat="1" applyBorder="1"/>
    <xf numFmtId="167" fontId="0" fillId="0" borderId="12" xfId="0" applyNumberFormat="1" applyBorder="1"/>
    <xf numFmtId="167" fontId="0" fillId="0" borderId="13" xfId="0" applyNumberFormat="1" applyBorder="1"/>
    <xf numFmtId="166" fontId="0" fillId="0" borderId="3" xfId="0" applyNumberFormat="1" applyBorder="1"/>
    <xf numFmtId="166" fontId="0" fillId="0" borderId="8" xfId="0" applyNumberFormat="1" applyBorder="1"/>
    <xf numFmtId="166" fontId="0" fillId="0" borderId="6" xfId="0" applyNumberFormat="1" applyBorder="1"/>
    <xf numFmtId="0" fontId="0" fillId="5" borderId="4" xfId="0" applyFill="1" applyBorder="1"/>
    <xf numFmtId="0" fontId="0" fillId="5" borderId="5" xfId="0" applyFill="1" applyBorder="1"/>
    <xf numFmtId="0" fontId="5" fillId="5" borderId="3" xfId="0" applyFont="1" applyFill="1" applyBorder="1"/>
    <xf numFmtId="0" fontId="0" fillId="5" borderId="0" xfId="0" applyFill="1" applyBorder="1"/>
    <xf numFmtId="0" fontId="0" fillId="5" borderId="0" xfId="0" applyFill="1"/>
    <xf numFmtId="2" fontId="0" fillId="5" borderId="0" xfId="0" applyNumberFormat="1" applyFill="1" applyBorder="1"/>
    <xf numFmtId="0" fontId="0" fillId="5" borderId="15" xfId="0" applyFill="1" applyBorder="1"/>
    <xf numFmtId="0" fontId="5" fillId="0" borderId="11" xfId="0" applyFont="1" applyBorder="1" applyAlignment="1">
      <alignment horizontal="center" vertical="center"/>
    </xf>
    <xf numFmtId="171" fontId="5" fillId="5" borderId="14" xfId="0" applyNumberFormat="1" applyFont="1" applyFill="1" applyBorder="1"/>
    <xf numFmtId="171" fontId="5" fillId="5" borderId="12" xfId="0" applyNumberFormat="1" applyFont="1" applyFill="1" applyBorder="1"/>
    <xf numFmtId="171" fontId="5" fillId="5" borderId="13" xfId="0" applyNumberFormat="1" applyFont="1" applyFill="1" applyBorder="1"/>
    <xf numFmtId="4" fontId="0" fillId="0" borderId="3" xfId="0" applyNumberFormat="1" applyBorder="1"/>
    <xf numFmtId="4" fontId="0" fillId="0" borderId="4" xfId="0" applyNumberFormat="1" applyBorder="1"/>
    <xf numFmtId="4" fontId="0" fillId="0" borderId="5" xfId="0" applyNumberFormat="1" applyBorder="1"/>
    <xf numFmtId="4" fontId="0" fillId="0" borderId="8" xfId="0" applyNumberFormat="1" applyBorder="1"/>
    <xf numFmtId="4" fontId="0" fillId="0" borderId="0" xfId="0" applyNumberFormat="1" applyBorder="1"/>
    <xf numFmtId="4" fontId="0" fillId="0" borderId="9" xfId="0" applyNumberFormat="1" applyBorder="1"/>
    <xf numFmtId="4" fontId="0" fillId="0" borderId="6" xfId="0" applyNumberFormat="1" applyBorder="1"/>
    <xf numFmtId="4" fontId="0" fillId="0" borderId="16" xfId="0" applyNumberFormat="1" applyBorder="1"/>
    <xf numFmtId="4" fontId="0" fillId="0" borderId="7" xfId="0" applyNumberFormat="1" applyBorder="1"/>
    <xf numFmtId="0" fontId="5" fillId="5" borderId="2" xfId="0" applyFont="1" applyFill="1" applyBorder="1"/>
    <xf numFmtId="0" fontId="5" fillId="5" borderId="2" xfId="0" applyFont="1" applyFill="1" applyBorder="1" applyAlignment="1">
      <alignment horizontal="center" vertical="center"/>
    </xf>
    <xf numFmtId="0" fontId="0" fillId="5" borderId="15" xfId="0" applyFill="1" applyBorder="1" applyAlignment="1">
      <alignment vertical="center"/>
    </xf>
    <xf numFmtId="0" fontId="5" fillId="5" borderId="3" xfId="0"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6" xfId="0" applyFont="1" applyFill="1" applyBorder="1" applyAlignment="1">
      <alignment horizontal="left" vertical="center" wrapText="1"/>
    </xf>
    <xf numFmtId="0" fontId="7" fillId="0" borderId="14" xfId="3" applyFill="1" applyBorder="1"/>
    <xf numFmtId="0" fontId="7" fillId="0" borderId="12" xfId="3" applyFill="1" applyBorder="1"/>
    <xf numFmtId="0" fontId="7" fillId="0" borderId="13" xfId="3" applyFill="1" applyBorder="1"/>
    <xf numFmtId="10" fontId="7" fillId="0" borderId="14" xfId="2" applyNumberFormat="1" applyFont="1" applyFill="1" applyBorder="1"/>
    <xf numFmtId="166" fontId="7" fillId="0" borderId="3" xfId="3" applyNumberFormat="1" applyFill="1" applyBorder="1"/>
    <xf numFmtId="167" fontId="7" fillId="0" borderId="14" xfId="3" applyNumberFormat="1" applyFill="1" applyBorder="1"/>
    <xf numFmtId="166" fontId="7" fillId="0" borderId="14" xfId="3" applyNumberFormat="1" applyFill="1" applyBorder="1"/>
    <xf numFmtId="10" fontId="7" fillId="0" borderId="12" xfId="2" applyNumberFormat="1" applyFont="1" applyFill="1" applyBorder="1"/>
    <xf numFmtId="166" fontId="7" fillId="0" borderId="8" xfId="3" applyNumberFormat="1" applyFill="1" applyBorder="1"/>
    <xf numFmtId="167" fontId="7" fillId="0" borderId="12" xfId="3" applyNumberFormat="1" applyFill="1" applyBorder="1"/>
    <xf numFmtId="166" fontId="7" fillId="0" borderId="12" xfId="3" applyNumberFormat="1" applyFill="1" applyBorder="1"/>
    <xf numFmtId="10" fontId="7" fillId="0" borderId="13" xfId="2" applyNumberFormat="1" applyFont="1" applyFill="1" applyBorder="1"/>
    <xf numFmtId="166" fontId="7" fillId="0" borderId="6" xfId="3" applyNumberFormat="1" applyFill="1" applyBorder="1"/>
    <xf numFmtId="167" fontId="7" fillId="0" borderId="13" xfId="3" applyNumberFormat="1" applyFill="1" applyBorder="1"/>
    <xf numFmtId="166" fontId="7" fillId="0" borderId="13" xfId="3" applyNumberFormat="1" applyFill="1" applyBorder="1"/>
    <xf numFmtId="2" fontId="9" fillId="0" borderId="15" xfId="3" applyNumberFormat="1" applyFont="1" applyFill="1" applyBorder="1" applyAlignment="1">
      <alignment horizontal="center" vertical="center"/>
    </xf>
    <xf numFmtId="44" fontId="0" fillId="5" borderId="0" xfId="0" applyNumberFormat="1" applyFill="1"/>
    <xf numFmtId="0" fontId="12" fillId="5" borderId="0" xfId="0" applyFont="1" applyFill="1"/>
    <xf numFmtId="0" fontId="0" fillId="5" borderId="8" xfId="0" applyFill="1" applyBorder="1"/>
    <xf numFmtId="0" fontId="0" fillId="5" borderId="9" xfId="0" applyFill="1" applyBorder="1"/>
    <xf numFmtId="0" fontId="4" fillId="6" borderId="0" xfId="6" applyBorder="1"/>
    <xf numFmtId="0" fontId="0" fillId="5" borderId="6" xfId="0" applyFill="1" applyBorder="1"/>
    <xf numFmtId="0" fontId="4" fillId="6" borderId="16" xfId="6" applyBorder="1"/>
    <xf numFmtId="0" fontId="0" fillId="5" borderId="16" xfId="0" applyFill="1" applyBorder="1"/>
    <xf numFmtId="0" fontId="0" fillId="5" borderId="7" xfId="0" applyFill="1" applyBorder="1"/>
    <xf numFmtId="0" fontId="1" fillId="5" borderId="8" xfId="1" applyFill="1" applyBorder="1"/>
    <xf numFmtId="2" fontId="0" fillId="5" borderId="16" xfId="0" applyNumberFormat="1" applyFill="1" applyBorder="1"/>
    <xf numFmtId="0" fontId="9" fillId="4" borderId="4" xfId="5" applyBorder="1"/>
    <xf numFmtId="0" fontId="0" fillId="5" borderId="3" xfId="0" applyFill="1" applyBorder="1"/>
    <xf numFmtId="2" fontId="0" fillId="5" borderId="4" xfId="0" applyNumberFormat="1" applyFill="1" applyBorder="1"/>
    <xf numFmtId="9" fontId="4" fillId="6" borderId="0" xfId="2" applyFill="1" applyBorder="1"/>
    <xf numFmtId="0" fontId="1" fillId="5" borderId="6" xfId="1" applyFill="1" applyBorder="1"/>
    <xf numFmtId="0" fontId="8" fillId="5" borderId="10" xfId="0" applyFont="1" applyFill="1" applyBorder="1" applyAlignment="1">
      <alignment vertical="center"/>
    </xf>
    <xf numFmtId="0" fontId="8" fillId="5" borderId="15" xfId="0" applyFont="1" applyFill="1" applyBorder="1" applyAlignment="1">
      <alignment vertical="center"/>
    </xf>
    <xf numFmtId="0" fontId="5" fillId="5" borderId="4" xfId="0" applyFont="1" applyFill="1" applyBorder="1"/>
    <xf numFmtId="0" fontId="1" fillId="5" borderId="0" xfId="1" applyFill="1" applyBorder="1"/>
    <xf numFmtId="0" fontId="1" fillId="5" borderId="16" xfId="1" applyFill="1" applyBorder="1"/>
    <xf numFmtId="0" fontId="7" fillId="5" borderId="0" xfId="3" applyFill="1" applyBorder="1"/>
    <xf numFmtId="0" fontId="0" fillId="0" borderId="0" xfId="0" applyBorder="1"/>
    <xf numFmtId="0" fontId="0" fillId="0" borderId="0" xfId="0" applyBorder="1" applyAlignment="1">
      <alignment wrapText="1"/>
    </xf>
    <xf numFmtId="0" fontId="0" fillId="0" borderId="0" xfId="0" applyFill="1" applyBorder="1" applyAlignment="1">
      <alignment wrapText="1"/>
    </xf>
    <xf numFmtId="0" fontId="0" fillId="0" borderId="0" xfId="0" applyBorder="1" applyAlignment="1"/>
    <xf numFmtId="0" fontId="0" fillId="5" borderId="9" xfId="0" applyFill="1" applyBorder="1" applyAlignment="1"/>
    <xf numFmtId="0" fontId="0" fillId="5" borderId="0" xfId="0" applyFill="1" applyBorder="1" applyAlignment="1">
      <alignment horizontal="left"/>
    </xf>
    <xf numFmtId="164" fontId="7" fillId="5" borderId="0" xfId="2" applyNumberFormat="1" applyFont="1" applyFill="1" applyBorder="1"/>
    <xf numFmtId="0" fontId="0" fillId="5" borderId="16" xfId="0" applyFill="1" applyBorder="1" applyAlignment="1">
      <alignment horizontal="left"/>
    </xf>
    <xf numFmtId="0" fontId="7" fillId="5" borderId="0" xfId="0" applyFont="1" applyFill="1" applyBorder="1"/>
    <xf numFmtId="0" fontId="5" fillId="5" borderId="6" xfId="0" applyFont="1" applyFill="1" applyBorder="1"/>
    <xf numFmtId="0" fontId="5" fillId="5" borderId="16" xfId="0" applyFont="1" applyFill="1" applyBorder="1"/>
    <xf numFmtId="0" fontId="5" fillId="5" borderId="8" xfId="0" applyFont="1" applyFill="1" applyBorder="1"/>
    <xf numFmtId="0" fontId="5" fillId="5" borderId="0" xfId="0" applyFont="1" applyFill="1" applyBorder="1"/>
    <xf numFmtId="2" fontId="7" fillId="5" borderId="0" xfId="0" applyNumberFormat="1" applyFont="1" applyFill="1" applyBorder="1"/>
    <xf numFmtId="0" fontId="0" fillId="5" borderId="9" xfId="0" applyFill="1" applyBorder="1" applyAlignment="1">
      <alignment wrapText="1"/>
    </xf>
    <xf numFmtId="2" fontId="7" fillId="5" borderId="16" xfId="3" applyNumberFormat="1" applyFont="1" applyFill="1" applyBorder="1"/>
    <xf numFmtId="0" fontId="5" fillId="5" borderId="5" xfId="0" applyFont="1" applyFill="1" applyBorder="1"/>
    <xf numFmtId="0" fontId="9" fillId="5" borderId="3" xfId="0" applyFont="1" applyFill="1" applyBorder="1"/>
    <xf numFmtId="0" fontId="13" fillId="5" borderId="3" xfId="1" applyFont="1" applyFill="1" applyBorder="1"/>
    <xf numFmtId="0" fontId="13" fillId="5" borderId="4" xfId="1" applyFont="1" applyFill="1" applyBorder="1"/>
    <xf numFmtId="0" fontId="9" fillId="5" borderId="4" xfId="0" applyFont="1" applyFill="1" applyBorder="1"/>
    <xf numFmtId="0" fontId="9" fillId="5" borderId="5" xfId="0" applyFont="1" applyFill="1" applyBorder="1"/>
    <xf numFmtId="0" fontId="0" fillId="5" borderId="5" xfId="0" applyFill="1" applyBorder="1" applyAlignment="1">
      <alignment horizontal="left" vertical="center" indent="1"/>
    </xf>
    <xf numFmtId="0" fontId="1" fillId="5" borderId="16" xfId="1" applyFont="1" applyFill="1" applyBorder="1"/>
    <xf numFmtId="0" fontId="0" fillId="5" borderId="7" xfId="0" applyFill="1" applyBorder="1" applyAlignment="1">
      <alignment horizontal="left" vertical="center" indent="1"/>
    </xf>
    <xf numFmtId="0" fontId="0" fillId="5" borderId="9" xfId="0" applyFill="1" applyBorder="1" applyAlignment="1">
      <alignment horizontal="left" vertical="center" indent="1"/>
    </xf>
    <xf numFmtId="9" fontId="7" fillId="5" borderId="0" xfId="2" applyFont="1" applyFill="1" applyBorder="1"/>
    <xf numFmtId="9" fontId="4" fillId="6" borderId="0" xfId="7" applyBorder="1"/>
    <xf numFmtId="9" fontId="4" fillId="6" borderId="16" xfId="2" applyFill="1" applyBorder="1"/>
    <xf numFmtId="0" fontId="9" fillId="4" borderId="9" xfId="5" applyBorder="1" applyAlignment="1">
      <alignment wrapText="1"/>
    </xf>
    <xf numFmtId="0" fontId="0" fillId="5" borderId="0" xfId="0" applyFill="1" applyBorder="1" applyAlignment="1">
      <alignment vertical="center"/>
    </xf>
    <xf numFmtId="0" fontId="7" fillId="5" borderId="0" xfId="3" applyFill="1" applyBorder="1" applyAlignment="1">
      <alignment vertical="center"/>
    </xf>
    <xf numFmtId="0" fontId="0" fillId="5" borderId="8" xfId="0" applyFill="1" applyBorder="1" applyAlignment="1">
      <alignment vertical="center"/>
    </xf>
    <xf numFmtId="0" fontId="5" fillId="5" borderId="0" xfId="0" applyFont="1" applyFill="1" applyBorder="1" applyAlignment="1">
      <alignment vertical="center"/>
    </xf>
    <xf numFmtId="0" fontId="9" fillId="4" borderId="0" xfId="5" applyBorder="1" applyAlignment="1"/>
    <xf numFmtId="0" fontId="9" fillId="0" borderId="0" xfId="5" applyFill="1" applyBorder="1" applyAlignment="1"/>
    <xf numFmtId="0" fontId="9" fillId="5" borderId="0" xfId="5" applyFill="1" applyBorder="1" applyAlignment="1"/>
    <xf numFmtId="0" fontId="9" fillId="5" borderId="9" xfId="5" applyFill="1" applyBorder="1" applyAlignment="1"/>
    <xf numFmtId="0" fontId="0" fillId="7" borderId="0" xfId="0" applyFill="1" applyBorder="1"/>
    <xf numFmtId="0" fontId="0" fillId="7" borderId="9" xfId="0" applyFill="1" applyBorder="1"/>
    <xf numFmtId="0" fontId="0" fillId="5" borderId="8" xfId="0" applyFont="1" applyFill="1" applyBorder="1"/>
    <xf numFmtId="3" fontId="9" fillId="5" borderId="4" xfId="3" applyNumberFormat="1" applyFont="1" applyFill="1" applyBorder="1" applyAlignment="1">
      <alignment horizontal="right" vertical="center"/>
    </xf>
    <xf numFmtId="0" fontId="5" fillId="5" borderId="5" xfId="0" applyFont="1" applyFill="1" applyBorder="1" applyAlignment="1">
      <alignment horizontal="left" vertical="center"/>
    </xf>
    <xf numFmtId="3" fontId="9" fillId="5" borderId="0" xfId="3" applyNumberFormat="1" applyFont="1" applyFill="1" applyBorder="1" applyAlignment="1">
      <alignment horizontal="right" vertical="center"/>
    </xf>
    <xf numFmtId="0" fontId="5" fillId="5" borderId="9" xfId="0" applyFont="1" applyFill="1" applyBorder="1" applyAlignment="1">
      <alignment horizontal="left" vertical="center"/>
    </xf>
    <xf numFmtId="4" fontId="9" fillId="5" borderId="0" xfId="3" applyNumberFormat="1" applyFont="1" applyFill="1" applyBorder="1" applyAlignment="1">
      <alignment horizontal="right" vertical="center"/>
    </xf>
    <xf numFmtId="9" fontId="9" fillId="5" borderId="0" xfId="2" applyFont="1" applyFill="1" applyBorder="1" applyAlignment="1">
      <alignment horizontal="right" vertical="center"/>
    </xf>
    <xf numFmtId="9" fontId="9" fillId="5" borderId="16" xfId="2" applyFont="1" applyFill="1" applyBorder="1" applyAlignment="1">
      <alignment horizontal="right" vertical="center"/>
    </xf>
    <xf numFmtId="0" fontId="5" fillId="5" borderId="7" xfId="0" applyFont="1" applyFill="1" applyBorder="1" applyAlignment="1">
      <alignment horizontal="left" vertical="center"/>
    </xf>
    <xf numFmtId="3" fontId="9" fillId="5" borderId="16" xfId="3" applyNumberFormat="1" applyFont="1" applyFill="1" applyBorder="1" applyAlignment="1">
      <alignment horizontal="right" vertical="center"/>
    </xf>
    <xf numFmtId="0" fontId="5" fillId="5" borderId="0" xfId="6" applyFont="1" applyFill="1" applyBorder="1" applyAlignment="1">
      <alignment horizontal="right" vertical="center"/>
    </xf>
    <xf numFmtId="0" fontId="5" fillId="5" borderId="5" xfId="0" applyFont="1" applyFill="1" applyBorder="1" applyAlignment="1">
      <alignment vertical="center"/>
    </xf>
    <xf numFmtId="0" fontId="5" fillId="5" borderId="9" xfId="0" applyFont="1" applyFill="1" applyBorder="1" applyAlignment="1">
      <alignment vertical="center"/>
    </xf>
    <xf numFmtId="0" fontId="5" fillId="5" borderId="7" xfId="0" applyFont="1" applyFill="1" applyBorder="1" applyAlignment="1">
      <alignment vertical="center"/>
    </xf>
    <xf numFmtId="0" fontId="5" fillId="5" borderId="0" xfId="0" applyFont="1" applyFill="1" applyBorder="1" applyAlignment="1">
      <alignment horizontal="left" vertical="center"/>
    </xf>
    <xf numFmtId="0" fontId="5" fillId="5" borderId="3" xfId="0" applyFont="1" applyFill="1" applyBorder="1" applyAlignment="1">
      <alignment horizontal="lef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2" fontId="9" fillId="5" borderId="0" xfId="3" applyNumberFormat="1" applyFont="1" applyFill="1" applyBorder="1" applyAlignment="1">
      <alignment horizontal="right" vertical="center"/>
    </xf>
    <xf numFmtId="0" fontId="5" fillId="5" borderId="4" xfId="0" applyFont="1" applyFill="1" applyBorder="1" applyAlignment="1">
      <alignment horizontal="left" vertical="center"/>
    </xf>
    <xf numFmtId="0" fontId="5" fillId="5" borderId="16" xfId="0" applyFont="1" applyFill="1" applyBorder="1" applyAlignment="1">
      <alignment horizontal="left" vertical="center"/>
    </xf>
    <xf numFmtId="0" fontId="5" fillId="5" borderId="16" xfId="6" applyFont="1" applyFill="1" applyBorder="1" applyAlignment="1">
      <alignment horizontal="right" vertical="center"/>
    </xf>
    <xf numFmtId="0" fontId="5" fillId="5" borderId="0" xfId="6" applyFont="1" applyFill="1" applyBorder="1" applyAlignment="1">
      <alignment vertical="center"/>
    </xf>
    <xf numFmtId="2" fontId="9" fillId="5" borderId="4" xfId="3" applyNumberFormat="1" applyFont="1" applyFill="1" applyBorder="1" applyAlignment="1">
      <alignment vertical="center"/>
    </xf>
    <xf numFmtId="2" fontId="9" fillId="5" borderId="16" xfId="3" applyNumberFormat="1" applyFont="1" applyFill="1" applyBorder="1" applyAlignment="1">
      <alignment vertical="center"/>
    </xf>
    <xf numFmtId="0" fontId="5" fillId="5" borderId="4" xfId="0" applyFont="1" applyFill="1" applyBorder="1" applyAlignment="1">
      <alignment vertical="center"/>
    </xf>
    <xf numFmtId="0" fontId="5" fillId="5" borderId="11" xfId="0" applyFont="1" applyFill="1" applyBorder="1" applyAlignment="1">
      <alignment horizontal="right" vertical="center"/>
    </xf>
    <xf numFmtId="0" fontId="7" fillId="0" borderId="0" xfId="3" applyFill="1" applyBorder="1"/>
    <xf numFmtId="164" fontId="7" fillId="5" borderId="14" xfId="2" applyNumberFormat="1" applyFont="1" applyFill="1" applyBorder="1"/>
    <xf numFmtId="164" fontId="7" fillId="5" borderId="12" xfId="2" applyNumberFormat="1" applyFont="1" applyFill="1" applyBorder="1"/>
    <xf numFmtId="164" fontId="7" fillId="5" borderId="13" xfId="2" applyNumberFormat="1" applyFont="1" applyFill="1" applyBorder="1"/>
    <xf numFmtId="0" fontId="7" fillId="5" borderId="14" xfId="3" applyFont="1" applyFill="1" applyBorder="1"/>
    <xf numFmtId="0" fontId="7" fillId="5" borderId="12" xfId="3" applyFont="1" applyFill="1" applyBorder="1"/>
    <xf numFmtId="0" fontId="7" fillId="5" borderId="13" xfId="3" applyFont="1" applyFill="1" applyBorder="1"/>
    <xf numFmtId="0" fontId="7" fillId="5" borderId="2" xfId="0" applyFont="1" applyFill="1" applyBorder="1"/>
    <xf numFmtId="0" fontId="7" fillId="5" borderId="15" xfId="3" applyFont="1" applyFill="1" applyBorder="1"/>
    <xf numFmtId="164" fontId="7" fillId="5" borderId="11" xfId="0" applyNumberFormat="1" applyFont="1" applyFill="1" applyBorder="1"/>
    <xf numFmtId="0" fontId="0" fillId="5" borderId="14" xfId="0" applyFill="1" applyBorder="1"/>
    <xf numFmtId="0" fontId="0" fillId="5" borderId="12" xfId="0" applyFill="1" applyBorder="1"/>
    <xf numFmtId="0" fontId="0" fillId="5" borderId="13" xfId="0" applyFill="1" applyBorder="1"/>
    <xf numFmtId="1" fontId="0" fillId="0" borderId="0" xfId="0" applyNumberFormat="1"/>
    <xf numFmtId="0" fontId="7" fillId="5" borderId="15" xfId="0" applyFont="1" applyFill="1" applyBorder="1"/>
    <xf numFmtId="165" fontId="0" fillId="5" borderId="3" xfId="0" applyNumberFormat="1" applyFill="1" applyBorder="1"/>
    <xf numFmtId="165" fontId="0" fillId="5" borderId="8" xfId="0" applyNumberFormat="1" applyFill="1" applyBorder="1"/>
    <xf numFmtId="165" fontId="0" fillId="5" borderId="6" xfId="0" applyNumberFormat="1" applyFill="1" applyBorder="1"/>
    <xf numFmtId="0" fontId="7" fillId="5" borderId="0" xfId="3" applyFont="1" applyFill="1" applyBorder="1"/>
    <xf numFmtId="9" fontId="5" fillId="5" borderId="0" xfId="6" applyNumberFormat="1" applyFont="1" applyFill="1" applyBorder="1" applyAlignment="1">
      <alignment vertical="center"/>
    </xf>
    <xf numFmtId="3" fontId="7" fillId="5" borderId="0" xfId="3" applyNumberFormat="1" applyFill="1" applyBorder="1"/>
    <xf numFmtId="3" fontId="4" fillId="6" borderId="0" xfId="6" applyNumberFormat="1" applyBorder="1"/>
    <xf numFmtId="0" fontId="5" fillId="5" borderId="4" xfId="0" applyFont="1" applyFill="1" applyBorder="1" applyAlignment="1">
      <alignment horizontal="right"/>
    </xf>
    <xf numFmtId="164" fontId="9" fillId="5" borderId="5" xfId="2" applyNumberFormat="1" applyFont="1" applyFill="1" applyBorder="1"/>
    <xf numFmtId="0" fontId="5" fillId="5" borderId="16" xfId="0" applyFont="1" applyFill="1" applyBorder="1" applyAlignment="1">
      <alignment horizontal="right"/>
    </xf>
    <xf numFmtId="168" fontId="9" fillId="5" borderId="7" xfId="3" applyNumberFormat="1" applyFont="1" applyFill="1" applyBorder="1"/>
    <xf numFmtId="165" fontId="0" fillId="5" borderId="4" xfId="0" applyNumberFormat="1" applyFill="1" applyBorder="1"/>
    <xf numFmtId="164" fontId="0" fillId="5" borderId="4" xfId="2" applyNumberFormat="1" applyFont="1" applyFill="1" applyBorder="1"/>
    <xf numFmtId="0" fontId="6" fillId="5" borderId="4" xfId="0" applyFont="1" applyFill="1" applyBorder="1" applyAlignment="1">
      <alignment horizontal="right"/>
    </xf>
    <xf numFmtId="167" fontId="5" fillId="5" borderId="4" xfId="0" applyNumberFormat="1" applyFont="1" applyFill="1" applyBorder="1"/>
    <xf numFmtId="167" fontId="5" fillId="5" borderId="5" xfId="0" applyNumberFormat="1" applyFont="1" applyFill="1" applyBorder="1"/>
    <xf numFmtId="0" fontId="6" fillId="5" borderId="16" xfId="0" applyFont="1" applyFill="1" applyBorder="1" applyAlignment="1">
      <alignment horizontal="right"/>
    </xf>
    <xf numFmtId="167" fontId="5" fillId="5" borderId="16" xfId="0" applyNumberFormat="1" applyFont="1" applyFill="1" applyBorder="1"/>
    <xf numFmtId="167" fontId="5" fillId="5" borderId="7" xfId="0" applyNumberFormat="1" applyFont="1" applyFill="1" applyBorder="1"/>
    <xf numFmtId="0" fontId="0" fillId="6" borderId="0" xfId="6" applyFont="1" applyBorder="1"/>
    <xf numFmtId="169" fontId="5" fillId="5" borderId="0" xfId="6" applyNumberFormat="1" applyFont="1" applyFill="1" applyBorder="1" applyAlignment="1">
      <alignment vertical="center"/>
    </xf>
    <xf numFmtId="2" fontId="7" fillId="5" borderId="0" xfId="3" applyNumberFormat="1" applyFill="1" applyBorder="1" applyAlignment="1">
      <alignment vertical="center"/>
    </xf>
    <xf numFmtId="0" fontId="5" fillId="5" borderId="9" xfId="0" applyFont="1" applyFill="1" applyBorder="1"/>
    <xf numFmtId="0" fontId="16" fillId="5" borderId="9" xfId="0" applyFont="1" applyFill="1" applyBorder="1" applyAlignment="1">
      <alignment wrapText="1"/>
    </xf>
    <xf numFmtId="0" fontId="5" fillId="5" borderId="3" xfId="0" applyFont="1" applyFill="1" applyBorder="1" applyAlignment="1">
      <alignment vertical="center"/>
    </xf>
    <xf numFmtId="0" fontId="0" fillId="5" borderId="9" xfId="0" applyFill="1" applyBorder="1" applyAlignment="1">
      <alignment vertical="center" wrapText="1"/>
    </xf>
    <xf numFmtId="0" fontId="0" fillId="5" borderId="16" xfId="0" applyFill="1" applyBorder="1" applyAlignment="1">
      <alignment vertical="center"/>
    </xf>
    <xf numFmtId="0" fontId="0" fillId="5" borderId="3" xfId="0" applyFill="1" applyBorder="1" applyAlignment="1">
      <alignment vertical="center" wrapText="1"/>
    </xf>
    <xf numFmtId="0" fontId="0" fillId="5" borderId="4" xfId="0" applyFill="1" applyBorder="1" applyAlignment="1">
      <alignment vertical="center"/>
    </xf>
    <xf numFmtId="2" fontId="7" fillId="5" borderId="4" xfId="3" applyNumberFormat="1" applyFill="1" applyBorder="1" applyAlignment="1">
      <alignment vertical="center"/>
    </xf>
    <xf numFmtId="0" fontId="0" fillId="5" borderId="5" xfId="0" applyFill="1" applyBorder="1" applyAlignment="1">
      <alignment vertical="center" wrapText="1"/>
    </xf>
    <xf numFmtId="0" fontId="1" fillId="5" borderId="7" xfId="1" applyFill="1" applyBorder="1" applyAlignment="1">
      <alignment vertical="center" wrapText="1"/>
    </xf>
    <xf numFmtId="0" fontId="0" fillId="5" borderId="10" xfId="0" applyFill="1" applyBorder="1" applyAlignment="1">
      <alignment vertical="center" wrapText="1"/>
    </xf>
    <xf numFmtId="2" fontId="7" fillId="5" borderId="15" xfId="3" applyNumberFormat="1" applyFill="1" applyBorder="1" applyAlignment="1">
      <alignment vertical="center"/>
    </xf>
    <xf numFmtId="0" fontId="0" fillId="5" borderId="11" xfId="0" applyFill="1" applyBorder="1" applyAlignment="1">
      <alignment vertical="center" wrapText="1"/>
    </xf>
    <xf numFmtId="0" fontId="7" fillId="5" borderId="15" xfId="3" applyFill="1" applyBorder="1" applyAlignment="1">
      <alignment vertical="center"/>
    </xf>
    <xf numFmtId="0" fontId="4" fillId="5" borderId="11" xfId="5" applyFont="1" applyFill="1" applyBorder="1" applyAlignment="1">
      <alignment wrapText="1"/>
    </xf>
    <xf numFmtId="0" fontId="0" fillId="0" borderId="0" xfId="0" applyAlignment="1">
      <alignment vertical="top"/>
    </xf>
    <xf numFmtId="3" fontId="7" fillId="5" borderId="0" xfId="0" applyNumberFormat="1" applyFont="1" applyFill="1" applyBorder="1"/>
    <xf numFmtId="9" fontId="4" fillId="6" borderId="16" xfId="7" applyBorder="1"/>
    <xf numFmtId="168" fontId="0" fillId="0" borderId="0" xfId="0" applyNumberFormat="1"/>
    <xf numFmtId="0" fontId="9" fillId="4" borderId="0" xfId="5"/>
    <xf numFmtId="0" fontId="7" fillId="5" borderId="4" xfId="3" applyFill="1" applyBorder="1" applyAlignment="1">
      <alignment vertical="center"/>
    </xf>
    <xf numFmtId="0" fontId="5" fillId="5" borderId="10" xfId="0" applyFont="1" applyFill="1" applyBorder="1" applyAlignment="1">
      <alignment vertical="center" wrapText="1"/>
    </xf>
    <xf numFmtId="0" fontId="5" fillId="5" borderId="15" xfId="0" applyFont="1" applyFill="1" applyBorder="1" applyAlignment="1">
      <alignment vertical="center"/>
    </xf>
    <xf numFmtId="2" fontId="9" fillId="5" borderId="15" xfId="3" applyNumberFormat="1" applyFont="1" applyFill="1" applyBorder="1" applyAlignment="1">
      <alignment vertical="center"/>
    </xf>
    <xf numFmtId="0" fontId="5" fillId="5" borderId="11" xfId="0" applyFont="1" applyFill="1" applyBorder="1" applyAlignment="1">
      <alignment vertical="center" wrapText="1"/>
    </xf>
    <xf numFmtId="172" fontId="5" fillId="5" borderId="11" xfId="0" applyNumberFormat="1" applyFont="1" applyFill="1" applyBorder="1" applyAlignment="1">
      <alignment vertical="center" wrapText="1"/>
    </xf>
    <xf numFmtId="165" fontId="0" fillId="0" borderId="0" xfId="0" applyNumberFormat="1" applyFill="1" applyBorder="1"/>
    <xf numFmtId="0" fontId="0" fillId="0" borderId="0" xfId="0" applyFill="1" applyBorder="1"/>
    <xf numFmtId="0" fontId="1" fillId="5" borderId="8" xfId="1" applyFill="1" applyBorder="1" applyAlignment="1">
      <alignment vertical="center"/>
    </xf>
    <xf numFmtId="0" fontId="1" fillId="5" borderId="8" xfId="1" applyFill="1" applyBorder="1" applyAlignment="1">
      <alignment horizontal="left" wrapText="1"/>
    </xf>
    <xf numFmtId="0" fontId="5" fillId="5" borderId="2" xfId="0" applyFont="1" applyFill="1" applyBorder="1" applyAlignment="1">
      <alignment horizontal="left" vertical="center"/>
    </xf>
    <xf numFmtId="0" fontId="0" fillId="5" borderId="15" xfId="0" applyFill="1" applyBorder="1" applyAlignment="1">
      <alignment horizontal="left"/>
    </xf>
    <xf numFmtId="0" fontId="0" fillId="5" borderId="11" xfId="0" applyFill="1" applyBorder="1"/>
    <xf numFmtId="0" fontId="0" fillId="0" borderId="0" xfId="0" applyAlignment="1">
      <alignment vertical="top" wrapText="1"/>
    </xf>
    <xf numFmtId="0" fontId="5" fillId="0" borderId="0" xfId="0" applyFont="1" applyFill="1" applyBorder="1" applyAlignment="1">
      <alignment horizontal="left" vertical="center"/>
    </xf>
    <xf numFmtId="0" fontId="12" fillId="0" borderId="0" xfId="0" applyFont="1"/>
    <xf numFmtId="0" fontId="5" fillId="5" borderId="0" xfId="0" applyFont="1" applyFill="1"/>
    <xf numFmtId="0" fontId="9" fillId="5" borderId="0" xfId="0" applyFont="1" applyFill="1"/>
    <xf numFmtId="0" fontId="5" fillId="0" borderId="0" xfId="0" applyFont="1" applyFill="1"/>
    <xf numFmtId="0" fontId="5" fillId="5" borderId="10" xfId="0" applyFont="1" applyFill="1" applyBorder="1"/>
    <xf numFmtId="0" fontId="5" fillId="5" borderId="15" xfId="0" applyFont="1" applyFill="1" applyBorder="1"/>
    <xf numFmtId="0" fontId="5" fillId="5" borderId="11" xfId="0" applyFont="1" applyFill="1" applyBorder="1" applyAlignment="1">
      <alignment horizontal="center"/>
    </xf>
    <xf numFmtId="0" fontId="5" fillId="5" borderId="2" xfId="0" applyFont="1" applyFill="1" applyBorder="1" applyAlignment="1">
      <alignment horizontal="center"/>
    </xf>
    <xf numFmtId="0" fontId="0" fillId="0" borderId="0" xfId="0" applyFont="1" applyFill="1"/>
    <xf numFmtId="0" fontId="19" fillId="0" borderId="0" xfId="0" applyFont="1" applyFill="1" applyBorder="1"/>
    <xf numFmtId="0" fontId="19" fillId="0" borderId="0" xfId="0" applyFont="1" applyFill="1"/>
    <xf numFmtId="0" fontId="19" fillId="0" borderId="0" xfId="0" applyFont="1"/>
    <xf numFmtId="0" fontId="20" fillId="0" borderId="0" xfId="1" applyFont="1"/>
    <xf numFmtId="0" fontId="19" fillId="0" borderId="0" xfId="0" applyFont="1" applyAlignment="1">
      <alignment vertical="top" wrapText="1"/>
    </xf>
    <xf numFmtId="0" fontId="20" fillId="0" borderId="0" xfId="1" applyFont="1" applyAlignment="1">
      <alignment vertical="top" wrapText="1"/>
    </xf>
    <xf numFmtId="0" fontId="5" fillId="0" borderId="12" xfId="0" applyFont="1" applyFill="1" applyBorder="1" applyAlignment="1">
      <alignment horizontal="center"/>
    </xf>
    <xf numFmtId="0" fontId="5" fillId="0" borderId="9" xfId="0" applyFont="1" applyFill="1" applyBorder="1" applyAlignment="1">
      <alignment horizontal="center"/>
    </xf>
    <xf numFmtId="0" fontId="5" fillId="0" borderId="13" xfId="0" applyFont="1" applyFill="1" applyBorder="1" applyAlignment="1">
      <alignment horizontal="center"/>
    </xf>
    <xf numFmtId="0" fontId="5" fillId="0" borderId="7" xfId="0" applyFont="1" applyFill="1" applyBorder="1" applyAlignment="1">
      <alignment horizontal="center"/>
    </xf>
    <xf numFmtId="0" fontId="5" fillId="0" borderId="14" xfId="0" applyFont="1" applyFill="1" applyBorder="1" applyAlignment="1">
      <alignment horizontal="center"/>
    </xf>
    <xf numFmtId="0" fontId="5" fillId="0" borderId="5" xfId="0" applyFont="1" applyFill="1" applyBorder="1" applyAlignment="1">
      <alignment horizontal="center"/>
    </xf>
    <xf numFmtId="0" fontId="5" fillId="5" borderId="16" xfId="0" applyNumberFormat="1" applyFont="1" applyFill="1" applyBorder="1" applyAlignment="1">
      <alignment horizontal="right"/>
    </xf>
    <xf numFmtId="0" fontId="4" fillId="5" borderId="4" xfId="6" applyFill="1" applyBorder="1"/>
    <xf numFmtId="0" fontId="20" fillId="5" borderId="0" xfId="1" applyFont="1" applyFill="1"/>
    <xf numFmtId="0" fontId="0" fillId="5" borderId="0" xfId="0" applyFill="1" applyAlignment="1">
      <alignment vertical="top" wrapText="1"/>
    </xf>
    <xf numFmtId="0" fontId="19" fillId="5" borderId="0" xfId="0" applyFont="1" applyFill="1" applyAlignment="1">
      <alignment vertical="top"/>
    </xf>
    <xf numFmtId="0" fontId="17" fillId="5" borderId="0" xfId="0" applyFont="1" applyFill="1"/>
    <xf numFmtId="9" fontId="4" fillId="0" borderId="0" xfId="7" applyFill="1"/>
    <xf numFmtId="0" fontId="12" fillId="0" borderId="3" xfId="0" applyFont="1" applyBorder="1"/>
    <xf numFmtId="0" fontId="1" fillId="0" borderId="8" xfId="1" applyBorder="1"/>
    <xf numFmtId="0" fontId="18" fillId="5" borderId="14" xfId="0" applyFont="1" applyFill="1" applyBorder="1" applyAlignment="1">
      <alignment vertical="center"/>
    </xf>
    <xf numFmtId="0" fontId="5" fillId="4" borderId="12" xfId="5" applyFont="1" applyBorder="1" applyAlignment="1">
      <alignment vertical="center"/>
    </xf>
    <xf numFmtId="0" fontId="5" fillId="6" borderId="12" xfId="6" applyFont="1" applyBorder="1" applyAlignment="1">
      <alignment vertical="center"/>
    </xf>
    <xf numFmtId="0" fontId="1" fillId="5" borderId="13" xfId="1" applyFill="1" applyBorder="1" applyAlignment="1">
      <alignment vertical="center"/>
    </xf>
    <xf numFmtId="17" fontId="0" fillId="0" borderId="0" xfId="0" applyNumberFormat="1" applyFill="1" applyBorder="1"/>
    <xf numFmtId="0" fontId="0" fillId="6" borderId="0" xfId="6" applyFont="1" applyBorder="1" applyAlignment="1">
      <alignment horizontal="center" vertical="center" wrapText="1"/>
    </xf>
    <xf numFmtId="14" fontId="0" fillId="0" borderId="0" xfId="0" applyNumberFormat="1"/>
    <xf numFmtId="4" fontId="0" fillId="0" borderId="0" xfId="0" applyNumberFormat="1"/>
    <xf numFmtId="9" fontId="0" fillId="0" borderId="0" xfId="0" applyNumberFormat="1"/>
    <xf numFmtId="1" fontId="9" fillId="5" borderId="15" xfId="3" applyNumberFormat="1" applyFont="1" applyFill="1" applyBorder="1" applyAlignment="1">
      <alignment horizontal="center" vertical="center"/>
    </xf>
    <xf numFmtId="0" fontId="21" fillId="5" borderId="0" xfId="0" applyFont="1" applyFill="1"/>
    <xf numFmtId="2" fontId="7" fillId="5" borderId="0" xfId="3" applyNumberFormat="1" applyFill="1" applyBorder="1"/>
    <xf numFmtId="0" fontId="5" fillId="5" borderId="12" xfId="0" applyFont="1" applyFill="1" applyBorder="1" applyAlignment="1">
      <alignment vertical="center" wrapText="1"/>
    </xf>
    <xf numFmtId="0" fontId="5" fillId="5" borderId="13" xfId="0" applyFont="1" applyFill="1" applyBorder="1" applyAlignment="1">
      <alignment vertical="center" wrapText="1"/>
    </xf>
    <xf numFmtId="0" fontId="22" fillId="5" borderId="14" xfId="0" applyFont="1" applyFill="1" applyBorder="1" applyAlignment="1">
      <alignment horizontal="center" vertical="center" wrapText="1"/>
    </xf>
    <xf numFmtId="0" fontId="23" fillId="5" borderId="12" xfId="0" applyFont="1" applyFill="1" applyBorder="1" applyAlignment="1">
      <alignment horizontal="center" vertical="center" wrapText="1"/>
    </xf>
    <xf numFmtId="44" fontId="0" fillId="0" borderId="16" xfId="0" applyNumberFormat="1" applyBorder="1" applyAlignment="1"/>
    <xf numFmtId="167" fontId="0" fillId="0" borderId="8" xfId="0" applyNumberFormat="1" applyBorder="1"/>
    <xf numFmtId="167" fontId="0" fillId="0" borderId="9" xfId="0" applyNumberFormat="1" applyBorder="1"/>
    <xf numFmtId="167" fontId="0" fillId="0" borderId="3" xfId="0" applyNumberFormat="1" applyBorder="1"/>
    <xf numFmtId="167" fontId="0" fillId="0" borderId="6" xfId="0" applyNumberFormat="1" applyBorder="1"/>
    <xf numFmtId="167" fontId="0" fillId="0" borderId="5" xfId="0" applyNumberFormat="1" applyBorder="1"/>
    <xf numFmtId="167" fontId="0" fillId="0" borderId="7" xfId="0" applyNumberFormat="1" applyBorder="1"/>
    <xf numFmtId="14" fontId="8" fillId="5" borderId="15" xfId="0" applyNumberFormat="1" applyFont="1" applyFill="1" applyBorder="1" applyAlignment="1">
      <alignment vertical="center"/>
    </xf>
    <xf numFmtId="2" fontId="4" fillId="6" borderId="0" xfId="6" applyNumberFormat="1" applyBorder="1"/>
    <xf numFmtId="0" fontId="0" fillId="6" borderId="0" xfId="0" applyFill="1" applyBorder="1" applyAlignment="1">
      <alignment horizontal="right"/>
    </xf>
    <xf numFmtId="4" fontId="4" fillId="6" borderId="0" xfId="6" applyNumberFormat="1" applyBorder="1"/>
    <xf numFmtId="0" fontId="0" fillId="0" borderId="0" xfId="0" applyFill="1" applyAlignment="1">
      <alignment wrapText="1"/>
    </xf>
    <xf numFmtId="0" fontId="1" fillId="0" borderId="0" xfId="1" applyFill="1" applyBorder="1" applyAlignment="1">
      <alignment horizontal="left" wrapText="1"/>
    </xf>
    <xf numFmtId="0" fontId="24" fillId="5" borderId="2" xfId="0" applyFont="1" applyFill="1"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24" fillId="5" borderId="2" xfId="0" applyFont="1" applyFill="1" applyBorder="1" applyAlignment="1">
      <alignment horizontal="center" vertical="center" wrapText="1"/>
    </xf>
    <xf numFmtId="0" fontId="0" fillId="0" borderId="12" xfId="0" applyBorder="1" applyAlignment="1">
      <alignment horizontal="left" vertical="top"/>
    </xf>
    <xf numFmtId="0" fontId="1" fillId="0" borderId="12" xfId="1" applyBorder="1" applyAlignment="1">
      <alignment horizontal="left" vertical="top" wrapText="1"/>
    </xf>
    <xf numFmtId="0" fontId="1" fillId="0" borderId="13" xfId="1" applyBorder="1" applyAlignment="1">
      <alignment horizontal="left" vertical="top" wrapText="1"/>
    </xf>
    <xf numFmtId="0" fontId="0" fillId="0" borderId="2" xfId="0" applyBorder="1" applyAlignment="1">
      <alignment horizontal="left" vertical="top" wrapText="1"/>
    </xf>
    <xf numFmtId="0" fontId="0" fillId="0" borderId="2" xfId="0" applyBorder="1" applyAlignment="1">
      <alignment horizontal="left" vertical="top"/>
    </xf>
    <xf numFmtId="0" fontId="1" fillId="0" borderId="2" xfId="1" applyBorder="1" applyAlignment="1">
      <alignment horizontal="left" vertical="top" wrapText="1"/>
    </xf>
    <xf numFmtId="0" fontId="0" fillId="0" borderId="14" xfId="0" applyBorder="1" applyAlignment="1">
      <alignment horizontal="left" vertical="top" wrapText="1"/>
    </xf>
    <xf numFmtId="0" fontId="0" fillId="0" borderId="14" xfId="0" applyBorder="1" applyAlignment="1">
      <alignment horizontal="left" vertical="top"/>
    </xf>
    <xf numFmtId="0" fontId="1" fillId="0" borderId="14" xfId="1" applyBorder="1" applyAlignment="1">
      <alignment horizontal="left" vertical="top" wrapText="1"/>
    </xf>
    <xf numFmtId="0" fontId="1" fillId="0" borderId="13" xfId="1" applyBorder="1" applyAlignment="1">
      <alignment horizontal="left" vertical="top"/>
    </xf>
    <xf numFmtId="0" fontId="0" fillId="0" borderId="2" xfId="0" applyFill="1" applyBorder="1" applyAlignment="1">
      <alignment horizontal="left" vertical="top" wrapText="1"/>
    </xf>
    <xf numFmtId="0" fontId="0" fillId="0" borderId="2" xfId="0" applyFill="1" applyBorder="1" applyAlignment="1">
      <alignment horizontal="left" vertical="top"/>
    </xf>
    <xf numFmtId="0" fontId="1" fillId="0" borderId="2" xfId="1" applyBorder="1" applyAlignment="1">
      <alignment horizontal="left" vertical="top"/>
    </xf>
    <xf numFmtId="0" fontId="0" fillId="0" borderId="14" xfId="0" applyFill="1" applyBorder="1" applyAlignment="1">
      <alignment horizontal="left" vertical="top" wrapText="1"/>
    </xf>
    <xf numFmtId="0" fontId="0" fillId="0" borderId="14" xfId="0" applyFill="1" applyBorder="1" applyAlignment="1">
      <alignment horizontal="left" vertical="top"/>
    </xf>
    <xf numFmtId="0" fontId="1" fillId="0" borderId="2" xfId="1" applyFill="1" applyBorder="1" applyAlignment="1">
      <alignment horizontal="left" vertical="top"/>
    </xf>
    <xf numFmtId="0" fontId="1" fillId="0" borderId="14" xfId="1" applyBorder="1" applyAlignment="1">
      <alignment horizontal="left" vertical="top"/>
    </xf>
    <xf numFmtId="14" fontId="0" fillId="0" borderId="2" xfId="0" applyNumberFormat="1" applyBorder="1" applyAlignment="1">
      <alignment horizontal="left" vertical="top"/>
    </xf>
    <xf numFmtId="0" fontId="1" fillId="5" borderId="6" xfId="1" applyFill="1" applyBorder="1" applyAlignment="1">
      <alignment horizontal="left" wrapText="1"/>
    </xf>
    <xf numFmtId="0" fontId="1" fillId="5" borderId="8" xfId="1" applyFill="1" applyBorder="1" applyAlignment="1">
      <alignment wrapText="1"/>
    </xf>
    <xf numFmtId="0" fontId="1" fillId="5" borderId="6" xfId="1" applyFill="1" applyBorder="1" applyAlignment="1">
      <alignment wrapText="1"/>
    </xf>
    <xf numFmtId="0" fontId="26" fillId="0" borderId="0" xfId="1" applyFont="1"/>
    <xf numFmtId="0" fontId="1" fillId="5" borderId="9" xfId="1" applyFill="1" applyBorder="1"/>
    <xf numFmtId="0" fontId="25" fillId="5" borderId="2" xfId="1" applyFont="1" applyFill="1" applyBorder="1" applyAlignment="1">
      <alignment horizontal="center" vertical="center" wrapText="1"/>
    </xf>
    <xf numFmtId="0" fontId="25" fillId="5" borderId="10" xfId="1" applyFont="1" applyFill="1" applyBorder="1" applyAlignment="1">
      <alignment horizontal="center" vertical="center" wrapText="1"/>
    </xf>
    <xf numFmtId="0" fontId="25" fillId="5" borderId="6" xfId="1" applyFont="1" applyFill="1" applyBorder="1"/>
    <xf numFmtId="0" fontId="25" fillId="5" borderId="4" xfId="1" applyFont="1" applyFill="1" applyBorder="1" applyAlignment="1">
      <alignment horizontal="right"/>
    </xf>
    <xf numFmtId="0" fontId="25" fillId="5" borderId="16" xfId="1" applyFont="1" applyFill="1" applyBorder="1" applyAlignment="1">
      <alignment horizontal="right"/>
    </xf>
    <xf numFmtId="2" fontId="7" fillId="5" borderId="4" xfId="3" applyNumberFormat="1" applyFill="1" applyBorder="1"/>
    <xf numFmtId="4" fontId="7" fillId="5" borderId="16" xfId="0" applyNumberFormat="1" applyFont="1" applyFill="1" applyBorder="1"/>
    <xf numFmtId="3" fontId="9" fillId="0" borderId="15" xfId="3" applyNumberFormat="1" applyFont="1" applyFill="1" applyBorder="1" applyAlignment="1">
      <alignment horizontal="center" vertical="center"/>
    </xf>
    <xf numFmtId="168" fontId="4" fillId="6" borderId="0" xfId="6" applyNumberFormat="1" applyBorder="1"/>
    <xf numFmtId="0" fontId="5" fillId="5" borderId="10" xfId="0" applyFont="1" applyFill="1" applyBorder="1" applyAlignment="1">
      <alignment horizontal="left" vertical="center"/>
    </xf>
    <xf numFmtId="0" fontId="1" fillId="0" borderId="14" xfId="1" applyBorder="1" applyAlignment="1">
      <alignment horizontal="left" vertical="top"/>
    </xf>
    <xf numFmtId="0" fontId="0" fillId="0" borderId="14" xfId="0" applyFill="1" applyBorder="1" applyAlignment="1">
      <alignment horizontal="center" vertical="top" wrapText="1"/>
    </xf>
    <xf numFmtId="0" fontId="0" fillId="0" borderId="14" xfId="0" applyFill="1" applyBorder="1" applyAlignment="1">
      <alignment vertical="top" wrapText="1"/>
    </xf>
    <xf numFmtId="0" fontId="0" fillId="0" borderId="3" xfId="0" applyBorder="1" applyAlignment="1">
      <alignment horizontal="left" vertical="top" wrapText="1"/>
    </xf>
    <xf numFmtId="0" fontId="0" fillId="0" borderId="6" xfId="0" applyBorder="1" applyAlignment="1">
      <alignment horizontal="left" vertical="top" wrapText="1"/>
    </xf>
    <xf numFmtId="173" fontId="7" fillId="5" borderId="4" xfId="3" applyNumberFormat="1" applyFill="1" applyBorder="1"/>
    <xf numFmtId="173" fontId="7" fillId="5" borderId="0" xfId="3" applyNumberFormat="1" applyFill="1" applyBorder="1"/>
    <xf numFmtId="173" fontId="7" fillId="5" borderId="16" xfId="3" applyNumberFormat="1" applyFill="1" applyBorder="1"/>
    <xf numFmtId="0" fontId="0" fillId="0" borderId="8" xfId="0" applyBorder="1" applyAlignment="1">
      <alignment horizontal="left" vertical="top" wrapText="1"/>
    </xf>
    <xf numFmtId="0" fontId="1" fillId="0" borderId="12" xfId="1" applyBorder="1" applyAlignment="1">
      <alignment horizontal="left" vertical="top"/>
    </xf>
    <xf numFmtId="165" fontId="0" fillId="0" borderId="6" xfId="0" applyNumberFormat="1" applyFill="1" applyBorder="1"/>
    <xf numFmtId="165" fontId="0" fillId="0" borderId="13" xfId="0" applyNumberFormat="1" applyFill="1" applyBorder="1"/>
    <xf numFmtId="0" fontId="5" fillId="5" borderId="2" xfId="0" applyFont="1" applyFill="1" applyBorder="1" applyAlignment="1">
      <alignment horizontal="left" vertical="center" wrapText="1"/>
    </xf>
    <xf numFmtId="2" fontId="5" fillId="5" borderId="15" xfId="0" applyNumberFormat="1" applyFont="1" applyFill="1" applyBorder="1" applyAlignment="1">
      <alignment horizontal="center" vertical="center" wrapText="1"/>
    </xf>
    <xf numFmtId="0" fontId="5" fillId="5" borderId="11" xfId="0" applyFont="1" applyFill="1" applyBorder="1" applyAlignment="1">
      <alignment horizontal="left" vertical="center" wrapText="1"/>
    </xf>
    <xf numFmtId="3" fontId="5" fillId="5" borderId="15" xfId="0" applyNumberFormat="1" applyFont="1" applyFill="1" applyBorder="1" applyAlignment="1">
      <alignment horizontal="center" vertical="center" wrapText="1"/>
    </xf>
    <xf numFmtId="1" fontId="5" fillId="5" borderId="15" xfId="3" applyNumberFormat="1" applyFont="1" applyFill="1" applyBorder="1" applyAlignment="1">
      <alignment horizontal="center" vertical="center"/>
    </xf>
    <xf numFmtId="0" fontId="5" fillId="5" borderId="11" xfId="0" applyFont="1" applyFill="1" applyBorder="1" applyAlignment="1">
      <alignment horizontal="left" vertical="center"/>
    </xf>
    <xf numFmtId="14" fontId="5" fillId="5" borderId="15" xfId="0" applyNumberFormat="1" applyFont="1" applyFill="1" applyBorder="1" applyAlignment="1">
      <alignment horizontal="center" vertical="center"/>
    </xf>
    <xf numFmtId="0" fontId="9" fillId="4" borderId="0" xfId="5" applyBorder="1" applyAlignment="1">
      <alignment horizontal="right"/>
    </xf>
    <xf numFmtId="0" fontId="0" fillId="5" borderId="0" xfId="0" applyFill="1" applyAlignment="1">
      <alignment horizontal="left" vertical="top" wrapText="1"/>
    </xf>
    <xf numFmtId="0" fontId="0" fillId="0" borderId="0" xfId="0" applyAlignment="1">
      <alignment horizontal="left" vertical="top" wrapText="1"/>
    </xf>
    <xf numFmtId="0" fontId="20" fillId="0" borderId="0" xfId="1" applyFont="1" applyAlignment="1">
      <alignment horizontal="left" vertical="top" wrapText="1"/>
    </xf>
    <xf numFmtId="0" fontId="9" fillId="5" borderId="10" xfId="5" applyFill="1" applyBorder="1" applyAlignment="1">
      <alignment horizontal="center"/>
    </xf>
    <xf numFmtId="0" fontId="9" fillId="5" borderId="15" xfId="5" applyFill="1" applyBorder="1" applyAlignment="1">
      <alignment horizontal="center"/>
    </xf>
    <xf numFmtId="0" fontId="9" fillId="5" borderId="11" xfId="5" applyFill="1" applyBorder="1" applyAlignment="1">
      <alignment horizontal="center"/>
    </xf>
    <xf numFmtId="0" fontId="9" fillId="5" borderId="10" xfId="5" applyFill="1" applyBorder="1" applyAlignment="1">
      <alignment horizontal="center" vertical="center"/>
    </xf>
    <xf numFmtId="0" fontId="9" fillId="5" borderId="15" xfId="5" applyFill="1" applyBorder="1" applyAlignment="1">
      <alignment horizontal="center" vertical="center"/>
    </xf>
    <xf numFmtId="0" fontId="9" fillId="5" borderId="11" xfId="5" applyFill="1" applyBorder="1" applyAlignment="1">
      <alignment horizontal="center" vertical="center"/>
    </xf>
    <xf numFmtId="44" fontId="5" fillId="5" borderId="10" xfId="0" applyNumberFormat="1" applyFont="1" applyFill="1" applyBorder="1" applyAlignment="1">
      <alignment horizontal="center"/>
    </xf>
    <xf numFmtId="44" fontId="5" fillId="5" borderId="15" xfId="0" applyNumberFormat="1" applyFont="1" applyFill="1" applyBorder="1" applyAlignment="1">
      <alignment horizontal="center"/>
    </xf>
    <xf numFmtId="44" fontId="5" fillId="5" borderId="11" xfId="0" applyNumberFormat="1" applyFont="1" applyFill="1" applyBorder="1" applyAlignment="1">
      <alignment horizontal="center"/>
    </xf>
    <xf numFmtId="0" fontId="0" fillId="0" borderId="14"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wrapText="1"/>
    </xf>
    <xf numFmtId="0" fontId="0" fillId="0" borderId="13" xfId="0" applyBorder="1" applyAlignment="1">
      <alignment horizontal="left" vertical="top" wrapText="1"/>
    </xf>
    <xf numFmtId="0" fontId="0" fillId="0" borderId="14" xfId="0" applyFill="1" applyBorder="1" applyAlignment="1">
      <alignment horizontal="left" vertical="top" wrapText="1"/>
    </xf>
    <xf numFmtId="0" fontId="0" fillId="0" borderId="13" xfId="0" applyFill="1" applyBorder="1" applyAlignment="1">
      <alignment horizontal="left" vertical="top" wrapText="1"/>
    </xf>
    <xf numFmtId="0" fontId="1" fillId="0" borderId="14" xfId="1" applyFill="1" applyBorder="1" applyAlignment="1">
      <alignment horizontal="left" vertical="top"/>
    </xf>
    <xf numFmtId="0" fontId="1" fillId="0" borderId="13" xfId="1" applyFill="1" applyBorder="1" applyAlignment="1">
      <alignment horizontal="left" vertical="top"/>
    </xf>
    <xf numFmtId="0" fontId="0" fillId="0" borderId="14" xfId="0" applyFont="1" applyFill="1" applyBorder="1" applyAlignment="1">
      <alignment vertical="top" wrapText="1"/>
    </xf>
    <xf numFmtId="0" fontId="0" fillId="0" borderId="12" xfId="0" applyFont="1" applyFill="1" applyBorder="1" applyAlignment="1">
      <alignment vertical="top" wrapText="1"/>
    </xf>
    <xf numFmtId="0" fontId="0" fillId="0" borderId="13" xfId="0" applyFont="1" applyFill="1" applyBorder="1" applyAlignment="1">
      <alignment vertical="top" wrapText="1"/>
    </xf>
    <xf numFmtId="0" fontId="0" fillId="0" borderId="14" xfId="0" applyFill="1" applyBorder="1" applyAlignment="1">
      <alignment vertical="top" wrapText="1"/>
    </xf>
    <xf numFmtId="0" fontId="0" fillId="0" borderId="12" xfId="0" applyFill="1" applyBorder="1" applyAlignment="1">
      <alignment vertical="top" wrapText="1"/>
    </xf>
    <xf numFmtId="0" fontId="0" fillId="0" borderId="13" xfId="0" applyFill="1" applyBorder="1" applyAlignment="1">
      <alignment vertical="top" wrapText="1"/>
    </xf>
    <xf numFmtId="0" fontId="0" fillId="0" borderId="3" xfId="0" applyFill="1" applyBorder="1" applyAlignment="1">
      <alignment horizontal="center" vertical="top"/>
    </xf>
    <xf numFmtId="0" fontId="0" fillId="0" borderId="8" xfId="0" applyFill="1" applyBorder="1" applyAlignment="1">
      <alignment horizontal="center" vertical="top"/>
    </xf>
    <xf numFmtId="0" fontId="0" fillId="0" borderId="6" xfId="0" applyFill="1" applyBorder="1" applyAlignment="1">
      <alignment horizontal="center" vertical="top"/>
    </xf>
    <xf numFmtId="0" fontId="0" fillId="0" borderId="12" xfId="0" applyFill="1" applyBorder="1" applyAlignment="1">
      <alignment horizontal="left" vertical="top" wrapText="1"/>
    </xf>
    <xf numFmtId="0" fontId="1" fillId="0" borderId="14" xfId="1" applyBorder="1" applyAlignment="1">
      <alignment horizontal="left" vertical="top"/>
    </xf>
    <xf numFmtId="0" fontId="1" fillId="0" borderId="13" xfId="1" applyBorder="1" applyAlignment="1">
      <alignment horizontal="left" vertical="top"/>
    </xf>
    <xf numFmtId="0" fontId="0" fillId="0" borderId="2" xfId="0" applyFont="1" applyFill="1" applyBorder="1" applyAlignment="1">
      <alignment vertical="top" wrapText="1"/>
    </xf>
  </cellXfs>
  <cellStyles count="9">
    <cellStyle name="Dropdown" xfId="5" xr:uid="{EBC6DBFA-9BC2-4034-B966-4C9FBDA4A56F}"/>
    <cellStyle name="Eingabe Prozent" xfId="7" xr:uid="{A0AE65B0-15AC-4D74-8DBE-09A75A11C7DC}"/>
    <cellStyle name="keine Eingabe" xfId="3" xr:uid="{5979DCD1-FEA2-4A73-A3CA-EAA9B8FB7732}"/>
    <cellStyle name="keine Eingabe Prozent" xfId="8" xr:uid="{976657AB-BE20-4428-86B9-7EB9C6098C10}"/>
    <cellStyle name="Link" xfId="1" builtinId="8"/>
    <cellStyle name="Prozent" xfId="2" builtinId="5"/>
    <cellStyle name="Standard" xfId="0" builtinId="0"/>
    <cellStyle name="Überschrift a" xfId="4" xr:uid="{15C71BF6-4F07-4346-A962-53C08001D5BD}"/>
    <cellStyle name="weitere Eingabefelder" xfId="6" xr:uid="{951D1717-B40C-4474-9BE7-F7467E714F18}"/>
  </cellStyles>
  <dxfs count="46">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92D05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left style="thin">
          <color auto="1"/>
        </left>
        <right style="thin">
          <color auto="1"/>
        </right>
        <top style="thin">
          <color auto="1"/>
        </top>
        <bottom style="thin">
          <color auto="1"/>
        </bottom>
        <vertical/>
        <horizontal/>
      </border>
    </dxf>
    <dxf>
      <fill>
        <patternFill>
          <bgColor theme="8" tint="0.59996337778862885"/>
        </patternFill>
      </fill>
    </dxf>
    <dxf>
      <fill>
        <patternFill patternType="solid">
          <bgColor theme="8" tint="0.59996337778862885"/>
        </patternFill>
      </fill>
      <border>
        <left style="thin">
          <color auto="1"/>
        </left>
        <right style="thin">
          <color auto="1"/>
        </right>
        <top style="thin">
          <color auto="1"/>
        </top>
        <bottom style="thin">
          <color auto="1"/>
        </bottom>
        <vertical/>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ECF5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r>
              <a:rPr lang="de-DE" sz="1400" b="1" i="0" u="sng" strike="noStrike" baseline="0">
                <a:solidFill>
                  <a:sysClr val="windowText" lastClr="000000">
                    <a:lumMod val="65000"/>
                    <a:lumOff val="35000"/>
                  </a:sysClr>
                </a:solidFill>
                <a:latin typeface="Calibri" panose="020F0502020204030204"/>
              </a:rPr>
              <a:t>Verteilung Windgeschwindkeit/Ertrag Windkraftanlage</a:t>
            </a:r>
          </a:p>
        </c:rich>
      </c:tx>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1.7645429831251721E-2"/>
          <c:y val="8.9923819905330882E-2"/>
          <c:w val="0.94320809545722706"/>
          <c:h val="0.76387186929973683"/>
        </c:manualLayout>
      </c:layout>
      <c:lineChart>
        <c:grouping val="standard"/>
        <c:varyColors val="0"/>
        <c:ser>
          <c:idx val="0"/>
          <c:order val="0"/>
          <c:tx>
            <c:strRef>
              <c:f>'5_Ertrag'!$C$65</c:f>
              <c:strCache>
                <c:ptCount val="1"/>
                <c:pt idx="0">
                  <c:v>Relative Häufigkeit der Klasse hi </c:v>
                </c:pt>
              </c:strCache>
            </c:strRef>
          </c:tx>
          <c:spPr>
            <a:ln w="28575" cap="rnd">
              <a:solidFill>
                <a:schemeClr val="accent1"/>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baseline="0">
                    <a:solidFill>
                      <a:schemeClr val="tx1">
                        <a:lumMod val="65000"/>
                        <a:lumOff val="3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'5_Ertrag'!$A$66:$A$106</c:f>
              <c:strCache>
                <c:ptCount val="41"/>
                <c:pt idx="0">
                  <c:v>0 - 0,5 m/s</c:v>
                </c:pt>
                <c:pt idx="1">
                  <c:v>0,5 - 1 m/s</c:v>
                </c:pt>
                <c:pt idx="2">
                  <c:v>1 - 1,5 m/s</c:v>
                </c:pt>
                <c:pt idx="3">
                  <c:v>1,5 - 2 m/s</c:v>
                </c:pt>
                <c:pt idx="4">
                  <c:v>2 - 2,5 m/s</c:v>
                </c:pt>
                <c:pt idx="5">
                  <c:v>2,5 - 3 m/s</c:v>
                </c:pt>
                <c:pt idx="6">
                  <c:v>3 - 3,5 m/s</c:v>
                </c:pt>
                <c:pt idx="7">
                  <c:v>3,5 - 4 m/s</c:v>
                </c:pt>
                <c:pt idx="8">
                  <c:v>4 - 4,5 m/s</c:v>
                </c:pt>
                <c:pt idx="9">
                  <c:v>4,5 - 5 m/s</c:v>
                </c:pt>
                <c:pt idx="10">
                  <c:v>5 - 5,5 m/s</c:v>
                </c:pt>
                <c:pt idx="11">
                  <c:v>5,5 - 6 m/s</c:v>
                </c:pt>
                <c:pt idx="12">
                  <c:v>6 - 6,5 m/s</c:v>
                </c:pt>
                <c:pt idx="13">
                  <c:v>6,5 - 7 m/s</c:v>
                </c:pt>
                <c:pt idx="14">
                  <c:v>7 - 7,5 m/s</c:v>
                </c:pt>
                <c:pt idx="15">
                  <c:v>7,5 - 8 m/s</c:v>
                </c:pt>
                <c:pt idx="16">
                  <c:v>8 - 8,5 m/s</c:v>
                </c:pt>
                <c:pt idx="17">
                  <c:v>8,5 - 9 m/s</c:v>
                </c:pt>
                <c:pt idx="18">
                  <c:v>9 - 9,5 m/s</c:v>
                </c:pt>
                <c:pt idx="19">
                  <c:v>9,5 - 10 m/s</c:v>
                </c:pt>
                <c:pt idx="20">
                  <c:v>10 - 10,5 m/s</c:v>
                </c:pt>
                <c:pt idx="21">
                  <c:v>10,5 - 11 m/s</c:v>
                </c:pt>
                <c:pt idx="22">
                  <c:v>11 - 11,5 m/s</c:v>
                </c:pt>
                <c:pt idx="23">
                  <c:v>11,5 - 12 m/s</c:v>
                </c:pt>
                <c:pt idx="24">
                  <c:v>12 - 12,5 m/s</c:v>
                </c:pt>
                <c:pt idx="25">
                  <c:v>12,5 - 13 m/s</c:v>
                </c:pt>
                <c:pt idx="26">
                  <c:v>13 - 13,5 m/s</c:v>
                </c:pt>
                <c:pt idx="27">
                  <c:v>13,5 - 14 m/s</c:v>
                </c:pt>
                <c:pt idx="28">
                  <c:v>14 - 14,5 m/s</c:v>
                </c:pt>
                <c:pt idx="29">
                  <c:v>14,5 - 15 m/s</c:v>
                </c:pt>
                <c:pt idx="30">
                  <c:v>15 - 15,5 m/s</c:v>
                </c:pt>
                <c:pt idx="31">
                  <c:v>15,5 - 16 m/s</c:v>
                </c:pt>
                <c:pt idx="32">
                  <c:v>16 - 16,5 m/s</c:v>
                </c:pt>
                <c:pt idx="33">
                  <c:v>16,5 - 17 m/s</c:v>
                </c:pt>
                <c:pt idx="34">
                  <c:v>17 - 17,5 m/s</c:v>
                </c:pt>
                <c:pt idx="35">
                  <c:v>17,5 - 18 m/s</c:v>
                </c:pt>
                <c:pt idx="36">
                  <c:v>18 - 18,5 m/s</c:v>
                </c:pt>
                <c:pt idx="37">
                  <c:v>18,5 - 19 m/s</c:v>
                </c:pt>
                <c:pt idx="38">
                  <c:v>19 - 19,5 m/s</c:v>
                </c:pt>
                <c:pt idx="39">
                  <c:v>19,5 - 20 m/s</c:v>
                </c:pt>
                <c:pt idx="40">
                  <c:v>&gt; 20 m/s </c:v>
                </c:pt>
              </c:strCache>
            </c:strRef>
          </c:cat>
          <c:val>
            <c:numRef>
              <c:f>'5_Ertrag'!$C$66:$C$106</c:f>
              <c:numCache>
                <c:formatCode>0.00%</c:formatCode>
                <c:ptCount val="41"/>
                <c:pt idx="0">
                  <c:v>1.096128073598689E-2</c:v>
                </c:pt>
                <c:pt idx="1">
                  <c:v>3.216884811353983E-2</c:v>
                </c:pt>
                <c:pt idx="2">
                  <c:v>5.1308600501871707E-2</c:v>
                </c:pt>
                <c:pt idx="3">
                  <c:v>6.7247643198203477E-2</c:v>
                </c:pt>
                <c:pt idx="4">
                  <c:v>7.9183256048995787E-2</c:v>
                </c:pt>
                <c:pt idx="5">
                  <c:v>8.6705830974333459E-2</c:v>
                </c:pt>
                <c:pt idx="6">
                  <c:v>8.9808346287819016E-2</c:v>
                </c:pt>
                <c:pt idx="7">
                  <c:v>8.8845469823851844E-2</c:v>
                </c:pt>
                <c:pt idx="8">
                  <c:v>8.445329281766728E-2</c:v>
                </c:pt>
                <c:pt idx="9">
                  <c:v>7.7445797829510443E-2</c:v>
                </c:pt>
                <c:pt idx="10">
                  <c:v>6.8705752052452468E-2</c:v>
                </c:pt>
                <c:pt idx="11">
                  <c:v>5.9085938687119234E-2</c:v>
                </c:pt>
                <c:pt idx="12">
                  <c:v>4.9332345808484265E-2</c:v>
                </c:pt>
                <c:pt idx="13">
                  <c:v>4.003537789972441E-2</c:v>
                </c:pt>
                <c:pt idx="14">
                  <c:v>3.1609638576187413E-2</c:v>
                </c:pt>
                <c:pt idx="15">
                  <c:v>2.4298392599337762E-2</c:v>
                </c:pt>
                <c:pt idx="16">
                  <c:v>1.8196047600211006E-2</c:v>
                </c:pt>
                <c:pt idx="17">
                  <c:v>1.3281018959114793E-2</c:v>
                </c:pt>
                <c:pt idx="18">
                  <c:v>9.4518812985948351E-3</c:v>
                </c:pt>
                <c:pt idx="19">
                  <c:v>6.5612604727717074E-3</c:v>
                </c:pt>
                <c:pt idx="20">
                  <c:v>4.4439137402374458E-3</c:v>
                </c:pt>
                <c:pt idx="21">
                  <c:v>2.937394419785739E-3</c:v>
                </c:pt>
                <c:pt idx="22">
                  <c:v>1.8952710311823905E-3</c:v>
                </c:pt>
                <c:pt idx="23">
                  <c:v>1.1939183417526353E-3</c:v>
                </c:pt>
                <c:pt idx="24">
                  <c:v>7.3441875041327961E-4</c:v>
                </c:pt>
                <c:pt idx="25">
                  <c:v>4.412063120438488E-4</c:v>
                </c:pt>
                <c:pt idx="26">
                  <c:v>2.5889533778086511E-4</c:v>
                </c:pt>
                <c:pt idx="27">
                  <c:v>1.4840236543222618E-4</c:v>
                </c:pt>
                <c:pt idx="28">
                  <c:v>8.3106638805176047E-5</c:v>
                </c:pt>
                <c:pt idx="29">
                  <c:v>4.5472471227311838E-5</c:v>
                </c:pt>
                <c:pt idx="30">
                  <c:v>2.4311682630027925E-5</c:v>
                </c:pt>
                <c:pt idx="31">
                  <c:v>1.2701860078052738E-5</c:v>
                </c:pt>
                <c:pt idx="32">
                  <c:v>6.4853688042413694E-6</c:v>
                </c:pt>
                <c:pt idx="33">
                  <c:v>3.2362616404325924E-6</c:v>
                </c:pt>
                <c:pt idx="34">
                  <c:v>1.5784047146200954E-6</c:v>
                </c:pt>
                <c:pt idx="35">
                  <c:v>7.524558758538086E-7</c:v>
                </c:pt>
                <c:pt idx="36">
                  <c:v>3.5063229503743539E-7</c:v>
                </c:pt>
                <c:pt idx="37">
                  <c:v>1.5971644582365873E-7</c:v>
                </c:pt>
                <c:pt idx="38">
                  <c:v>7.1119938637942379E-8</c:v>
                </c:pt>
                <c:pt idx="39">
                  <c:v>3.0959430853120968E-8</c:v>
                </c:pt>
                <c:pt idx="40">
                  <c:v>2.0253884836039009E-8</c:v>
                </c:pt>
              </c:numCache>
            </c:numRef>
          </c:val>
          <c:smooth val="0"/>
          <c:extLst>
            <c:ext xmlns:c16="http://schemas.microsoft.com/office/drawing/2014/chart" uri="{C3380CC4-5D6E-409C-BE32-E72D297353CC}">
              <c16:uniqueId val="{00000000-EB89-4FB5-8152-A7D4B8746E1C}"/>
            </c:ext>
          </c:extLst>
        </c:ser>
        <c:dLbls>
          <c:showLegendKey val="0"/>
          <c:showVal val="1"/>
          <c:showCatName val="0"/>
          <c:showSerName val="0"/>
          <c:showPercent val="0"/>
          <c:showBubbleSize val="0"/>
        </c:dLbls>
        <c:marker val="1"/>
        <c:smooth val="0"/>
        <c:axId val="271175615"/>
        <c:axId val="266954495"/>
      </c:lineChart>
      <c:lineChart>
        <c:grouping val="standard"/>
        <c:varyColors val="0"/>
        <c:ser>
          <c:idx val="1"/>
          <c:order val="1"/>
          <c:tx>
            <c:strRef>
              <c:f>'5_Ertrag'!$I$65</c:f>
              <c:strCache>
                <c:ptCount val="1"/>
                <c:pt idx="0">
                  <c:v>Klassenenergieertrag nach relativer Häufigkeit der vW (Berücksichtigung WI &amp; Leistungsbeiwert, Nennleistung und Ein- &amp; Abschaltgeschwindigkeit)</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0">
                <a:spAutoFit/>
              </a:bodyPr>
              <a:lstStyle/>
              <a:p>
                <a:pPr algn="ctr">
                  <a:defRPr lang="de-DE" sz="900" b="1" i="0" u="none" strike="noStrike" baseline="0">
                    <a:solidFill>
                      <a:schemeClr val="tx1">
                        <a:lumMod val="65000"/>
                        <a:lumOff val="3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'5_Ertrag'!$A$66:$A$106</c:f>
              <c:strCache>
                <c:ptCount val="41"/>
                <c:pt idx="0">
                  <c:v>0 - 0,5 m/s</c:v>
                </c:pt>
                <c:pt idx="1">
                  <c:v>0,5 - 1 m/s</c:v>
                </c:pt>
                <c:pt idx="2">
                  <c:v>1 - 1,5 m/s</c:v>
                </c:pt>
                <c:pt idx="3">
                  <c:v>1,5 - 2 m/s</c:v>
                </c:pt>
                <c:pt idx="4">
                  <c:v>2 - 2,5 m/s</c:v>
                </c:pt>
                <c:pt idx="5">
                  <c:v>2,5 - 3 m/s</c:v>
                </c:pt>
                <c:pt idx="6">
                  <c:v>3 - 3,5 m/s</c:v>
                </c:pt>
                <c:pt idx="7">
                  <c:v>3,5 - 4 m/s</c:v>
                </c:pt>
                <c:pt idx="8">
                  <c:v>4 - 4,5 m/s</c:v>
                </c:pt>
                <c:pt idx="9">
                  <c:v>4,5 - 5 m/s</c:v>
                </c:pt>
                <c:pt idx="10">
                  <c:v>5 - 5,5 m/s</c:v>
                </c:pt>
                <c:pt idx="11">
                  <c:v>5,5 - 6 m/s</c:v>
                </c:pt>
                <c:pt idx="12">
                  <c:v>6 - 6,5 m/s</c:v>
                </c:pt>
                <c:pt idx="13">
                  <c:v>6,5 - 7 m/s</c:v>
                </c:pt>
                <c:pt idx="14">
                  <c:v>7 - 7,5 m/s</c:v>
                </c:pt>
                <c:pt idx="15">
                  <c:v>7,5 - 8 m/s</c:v>
                </c:pt>
                <c:pt idx="16">
                  <c:v>8 - 8,5 m/s</c:v>
                </c:pt>
                <c:pt idx="17">
                  <c:v>8,5 - 9 m/s</c:v>
                </c:pt>
                <c:pt idx="18">
                  <c:v>9 - 9,5 m/s</c:v>
                </c:pt>
                <c:pt idx="19">
                  <c:v>9,5 - 10 m/s</c:v>
                </c:pt>
                <c:pt idx="20">
                  <c:v>10 - 10,5 m/s</c:v>
                </c:pt>
                <c:pt idx="21">
                  <c:v>10,5 - 11 m/s</c:v>
                </c:pt>
                <c:pt idx="22">
                  <c:v>11 - 11,5 m/s</c:v>
                </c:pt>
                <c:pt idx="23">
                  <c:v>11,5 - 12 m/s</c:v>
                </c:pt>
                <c:pt idx="24">
                  <c:v>12 - 12,5 m/s</c:v>
                </c:pt>
                <c:pt idx="25">
                  <c:v>12,5 - 13 m/s</c:v>
                </c:pt>
                <c:pt idx="26">
                  <c:v>13 - 13,5 m/s</c:v>
                </c:pt>
                <c:pt idx="27">
                  <c:v>13,5 - 14 m/s</c:v>
                </c:pt>
                <c:pt idx="28">
                  <c:v>14 - 14,5 m/s</c:v>
                </c:pt>
                <c:pt idx="29">
                  <c:v>14,5 - 15 m/s</c:v>
                </c:pt>
                <c:pt idx="30">
                  <c:v>15 - 15,5 m/s</c:v>
                </c:pt>
                <c:pt idx="31">
                  <c:v>15,5 - 16 m/s</c:v>
                </c:pt>
                <c:pt idx="32">
                  <c:v>16 - 16,5 m/s</c:v>
                </c:pt>
                <c:pt idx="33">
                  <c:v>16,5 - 17 m/s</c:v>
                </c:pt>
                <c:pt idx="34">
                  <c:v>17 - 17,5 m/s</c:v>
                </c:pt>
                <c:pt idx="35">
                  <c:v>17,5 - 18 m/s</c:v>
                </c:pt>
                <c:pt idx="36">
                  <c:v>18 - 18,5 m/s</c:v>
                </c:pt>
                <c:pt idx="37">
                  <c:v>18,5 - 19 m/s</c:v>
                </c:pt>
                <c:pt idx="38">
                  <c:v>19 - 19,5 m/s</c:v>
                </c:pt>
                <c:pt idx="39">
                  <c:v>19,5 - 20 m/s</c:v>
                </c:pt>
                <c:pt idx="40">
                  <c:v>&gt; 20 m/s </c:v>
                </c:pt>
              </c:strCache>
            </c:strRef>
          </c:cat>
          <c:val>
            <c:numRef>
              <c:f>'5_Ertrag'!$I$66:$I$106</c:f>
              <c:numCache>
                <c:formatCode>0.0" W"</c:formatCode>
                <c:ptCount val="41"/>
                <c:pt idx="0">
                  <c:v>0</c:v>
                </c:pt>
                <c:pt idx="1">
                  <c:v>0</c:v>
                </c:pt>
                <c:pt idx="2">
                  <c:v>0</c:v>
                </c:pt>
                <c:pt idx="3">
                  <c:v>0</c:v>
                </c:pt>
                <c:pt idx="4">
                  <c:v>0</c:v>
                </c:pt>
                <c:pt idx="5">
                  <c:v>0</c:v>
                </c:pt>
                <c:pt idx="6">
                  <c:v>93.540429437730481</c:v>
                </c:pt>
                <c:pt idx="7">
                  <c:v>142.15484576525228</c:v>
                </c:pt>
                <c:pt idx="8">
                  <c:v>196.70525144676506</c:v>
                </c:pt>
                <c:pt idx="9">
                  <c:v>251.8322026247028</c:v>
                </c:pt>
                <c:pt idx="10">
                  <c:v>301.65017734357798</c:v>
                </c:pt>
                <c:pt idx="11">
                  <c:v>340.81621621376917</c:v>
                </c:pt>
                <c:pt idx="12">
                  <c:v>365.43016682593912</c:v>
                </c:pt>
                <c:pt idx="13">
                  <c:v>373.5836214237757</c:v>
                </c:pt>
                <c:pt idx="14">
                  <c:v>365.48211282471561</c:v>
                </c:pt>
                <c:pt idx="15">
                  <c:v>343.17467367356721</c:v>
                </c:pt>
                <c:pt idx="16">
                  <c:v>310.00699038986551</c:v>
                </c:pt>
                <c:pt idx="17">
                  <c:v>269.95298419293806</c:v>
                </c:pt>
                <c:pt idx="18">
                  <c:v>226.97395963478232</c:v>
                </c:pt>
                <c:pt idx="19">
                  <c:v>184.51586056758433</c:v>
                </c:pt>
                <c:pt idx="20">
                  <c:v>136.25039527568009</c:v>
                </c:pt>
                <c:pt idx="21">
                  <c:v>90.060512910630763</c:v>
                </c:pt>
                <c:pt idx="22">
                  <c:v>58.109009816052094</c:v>
                </c:pt>
                <c:pt idx="23">
                  <c:v>36.605536358135801</c:v>
                </c:pt>
                <c:pt idx="24">
                  <c:v>22.517278887671154</c:v>
                </c:pt>
                <c:pt idx="25">
                  <c:v>13.527385527264405</c:v>
                </c:pt>
                <c:pt idx="26">
                  <c:v>7.9377310563613248</c:v>
                </c:pt>
                <c:pt idx="27">
                  <c:v>4.5500165241520545</c:v>
                </c:pt>
                <c:pt idx="28">
                  <c:v>2.5480495457666974</c:v>
                </c:pt>
                <c:pt idx="29">
                  <c:v>1.3941859678293809</c:v>
                </c:pt>
                <c:pt idx="30">
                  <c:v>0.7453961894366562</c:v>
                </c:pt>
                <c:pt idx="31">
                  <c:v>0.38943902999309693</c:v>
                </c:pt>
                <c:pt idx="32">
                  <c:v>0.19884140753804039</c:v>
                </c:pt>
                <c:pt idx="33">
                  <c:v>9.9223781895663291E-2</c:v>
                </c:pt>
                <c:pt idx="34">
                  <c:v>4.8393888550252132E-2</c:v>
                </c:pt>
                <c:pt idx="35">
                  <c:v>2.3070297153677772E-2</c:v>
                </c:pt>
                <c:pt idx="36">
                  <c:v>1.0750386165847768E-2</c:v>
                </c:pt>
                <c:pt idx="37">
                  <c:v>4.8969062289533766E-3</c:v>
                </c:pt>
                <c:pt idx="38">
                  <c:v>2.1805373186393135E-3</c:v>
                </c:pt>
                <c:pt idx="39">
                  <c:v>9.492161499566889E-4</c:v>
                </c:pt>
                <c:pt idx="40">
                  <c:v>6.2098410907295606E-4</c:v>
                </c:pt>
              </c:numCache>
            </c:numRef>
          </c:val>
          <c:smooth val="0"/>
          <c:extLst>
            <c:ext xmlns:c16="http://schemas.microsoft.com/office/drawing/2014/chart" uri="{C3380CC4-5D6E-409C-BE32-E72D297353CC}">
              <c16:uniqueId val="{00000000-C6EC-4C2B-917E-6442A2B6CFC6}"/>
            </c:ext>
          </c:extLst>
        </c:ser>
        <c:dLbls>
          <c:showLegendKey val="0"/>
          <c:showVal val="0"/>
          <c:showCatName val="0"/>
          <c:showSerName val="0"/>
          <c:showPercent val="0"/>
          <c:showBubbleSize val="0"/>
        </c:dLbls>
        <c:marker val="1"/>
        <c:smooth val="0"/>
        <c:axId val="1592331519"/>
        <c:axId val="1314255279"/>
      </c:lineChart>
      <c:catAx>
        <c:axId val="271175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baseline="0">
                <a:solidFill>
                  <a:schemeClr val="tx1">
                    <a:lumMod val="65000"/>
                    <a:lumOff val="35000"/>
                  </a:schemeClr>
                </a:solidFill>
                <a:latin typeface="+mn-lt"/>
                <a:ea typeface="+mn-ea"/>
                <a:cs typeface="+mn-cs"/>
              </a:defRPr>
            </a:pPr>
            <a:endParaRPr lang="de-DE"/>
          </a:p>
        </c:txPr>
        <c:crossAx val="266954495"/>
        <c:crosses val="autoZero"/>
        <c:auto val="1"/>
        <c:lblAlgn val="ctr"/>
        <c:lblOffset val="100"/>
        <c:noMultiLvlLbl val="0"/>
      </c:catAx>
      <c:valAx>
        <c:axId val="2669544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de-DE"/>
          </a:p>
        </c:txPr>
        <c:crossAx val="271175615"/>
        <c:crosses val="autoZero"/>
        <c:crossBetween val="between"/>
      </c:valAx>
      <c:valAx>
        <c:axId val="1314255279"/>
        <c:scaling>
          <c:orientation val="minMax"/>
        </c:scaling>
        <c:delete val="0"/>
        <c:axPos val="r"/>
        <c:numFmt formatCode="0.0&quot; W&quo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de-DE"/>
          </a:p>
        </c:txPr>
        <c:crossAx val="1592331519"/>
        <c:crosses val="max"/>
        <c:crossBetween val="between"/>
      </c:valAx>
      <c:catAx>
        <c:axId val="1592331519"/>
        <c:scaling>
          <c:orientation val="minMax"/>
        </c:scaling>
        <c:delete val="1"/>
        <c:axPos val="b"/>
        <c:numFmt formatCode="General" sourceLinked="1"/>
        <c:majorTickMark val="out"/>
        <c:minorTickMark val="none"/>
        <c:tickLblPos val="nextTo"/>
        <c:crossAx val="1314255279"/>
        <c:crosses val="autoZero"/>
        <c:auto val="1"/>
        <c:lblAlgn val="ctr"/>
        <c:lblOffset val="100"/>
        <c:noMultiLvlLbl val="0"/>
      </c:catAx>
      <c:spPr>
        <a:noFill/>
        <a:ln>
          <a:noFill/>
        </a:ln>
        <a:effectLst/>
      </c:spPr>
    </c:plotArea>
    <c:legend>
      <c:legendPos val="r"/>
      <c:layout>
        <c:manualLayout>
          <c:xMode val="edge"/>
          <c:yMode val="edge"/>
          <c:x val="0.64941627911121425"/>
          <c:y val="9.7948835917373106E-2"/>
          <c:w val="0.13584974379526654"/>
          <c:h val="0.14971197414401194"/>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theoretische Leistungskurve der Windkraftanlage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'5_Ertrag'!$H$65</c:f>
              <c:strCache>
                <c:ptCount val="1"/>
                <c:pt idx="0">
                  <c:v>dem Wind entnehmbare Leistung pro Klasse (Berücksichtigung Leistungsbeiwert, Nennleistung und Ein- &amp; Abschaltgeschwindigkeit)</c:v>
                </c:pt>
              </c:strCache>
            </c:strRef>
          </c:tx>
          <c:spPr>
            <a:ln w="28575" cap="rnd">
              <a:solidFill>
                <a:schemeClr val="accent1"/>
              </a:solidFill>
              <a:round/>
            </a:ln>
            <a:effectLst/>
          </c:spPr>
          <c:marker>
            <c:symbol val="none"/>
          </c:marker>
          <c:cat>
            <c:numRef>
              <c:f>'5_Ertrag'!$B$66:$B$106</c:f>
              <c:numCache>
                <c:formatCode>0.00" m/s"</c:formatCode>
                <c:ptCount val="41"/>
                <c:pt idx="0">
                  <c:v>0.25</c:v>
                </c:pt>
                <c:pt idx="1">
                  <c:v>0.75</c:v>
                </c:pt>
                <c:pt idx="2">
                  <c:v>1.25</c:v>
                </c:pt>
                <c:pt idx="3">
                  <c:v>1.75</c:v>
                </c:pt>
                <c:pt idx="4">
                  <c:v>2.25</c:v>
                </c:pt>
                <c:pt idx="5">
                  <c:v>2.75</c:v>
                </c:pt>
                <c:pt idx="6">
                  <c:v>3.25</c:v>
                </c:pt>
                <c:pt idx="7">
                  <c:v>3.75</c:v>
                </c:pt>
                <c:pt idx="8">
                  <c:v>4.25</c:v>
                </c:pt>
                <c:pt idx="9">
                  <c:v>4.75</c:v>
                </c:pt>
                <c:pt idx="10">
                  <c:v>5.25</c:v>
                </c:pt>
                <c:pt idx="11">
                  <c:v>5.75</c:v>
                </c:pt>
                <c:pt idx="12">
                  <c:v>6.25</c:v>
                </c:pt>
                <c:pt idx="13">
                  <c:v>6.75</c:v>
                </c:pt>
                <c:pt idx="14">
                  <c:v>7.25</c:v>
                </c:pt>
                <c:pt idx="15">
                  <c:v>7.75</c:v>
                </c:pt>
                <c:pt idx="16">
                  <c:v>8.25</c:v>
                </c:pt>
                <c:pt idx="17">
                  <c:v>8.75</c:v>
                </c:pt>
                <c:pt idx="18">
                  <c:v>9.25</c:v>
                </c:pt>
                <c:pt idx="19">
                  <c:v>9.75</c:v>
                </c:pt>
                <c:pt idx="20">
                  <c:v>10.25</c:v>
                </c:pt>
                <c:pt idx="21">
                  <c:v>10.75</c:v>
                </c:pt>
                <c:pt idx="22">
                  <c:v>11.25</c:v>
                </c:pt>
                <c:pt idx="23">
                  <c:v>11.75</c:v>
                </c:pt>
                <c:pt idx="24">
                  <c:v>12.25</c:v>
                </c:pt>
                <c:pt idx="25">
                  <c:v>12.75</c:v>
                </c:pt>
                <c:pt idx="26">
                  <c:v>13.25</c:v>
                </c:pt>
                <c:pt idx="27">
                  <c:v>13.75</c:v>
                </c:pt>
                <c:pt idx="28">
                  <c:v>14.25</c:v>
                </c:pt>
                <c:pt idx="29">
                  <c:v>14.75</c:v>
                </c:pt>
                <c:pt idx="30">
                  <c:v>15.25</c:v>
                </c:pt>
                <c:pt idx="31">
                  <c:v>15.75</c:v>
                </c:pt>
                <c:pt idx="32">
                  <c:v>16.25</c:v>
                </c:pt>
                <c:pt idx="33">
                  <c:v>16.75</c:v>
                </c:pt>
                <c:pt idx="34">
                  <c:v>17.25</c:v>
                </c:pt>
                <c:pt idx="35">
                  <c:v>17.75</c:v>
                </c:pt>
                <c:pt idx="36">
                  <c:v>18.25</c:v>
                </c:pt>
                <c:pt idx="37">
                  <c:v>18.75</c:v>
                </c:pt>
                <c:pt idx="38">
                  <c:v>19.25</c:v>
                </c:pt>
                <c:pt idx="39">
                  <c:v>19.75</c:v>
                </c:pt>
                <c:pt idx="40">
                  <c:v>20</c:v>
                </c:pt>
              </c:numCache>
            </c:numRef>
          </c:cat>
          <c:val>
            <c:numRef>
              <c:f>'5_Ertrag'!$H$66:$H$106</c:f>
              <c:numCache>
                <c:formatCode>0.0" W"</c:formatCode>
                <c:ptCount val="41"/>
                <c:pt idx="0">
                  <c:v>0</c:v>
                </c:pt>
                <c:pt idx="1">
                  <c:v>0</c:v>
                </c:pt>
                <c:pt idx="2">
                  <c:v>0</c:v>
                </c:pt>
                <c:pt idx="3">
                  <c:v>0</c:v>
                </c:pt>
                <c:pt idx="4">
                  <c:v>0</c:v>
                </c:pt>
                <c:pt idx="5">
                  <c:v>0</c:v>
                </c:pt>
                <c:pt idx="6">
                  <c:v>118.89909630594212</c:v>
                </c:pt>
                <c:pt idx="7">
                  <c:v>182.65109241354332</c:v>
                </c:pt>
                <c:pt idx="8">
                  <c:v>265.88587171192245</c:v>
                </c:pt>
                <c:pt idx="9">
                  <c:v>371.20113862651664</c:v>
                </c:pt>
                <c:pt idx="10">
                  <c:v>501.19459758276281</c:v>
                </c:pt>
                <c:pt idx="11">
                  <c:v>658.46395300609822</c:v>
                </c:pt>
                <c:pt idx="12">
                  <c:v>845.60690932195973</c:v>
                </c:pt>
                <c:pt idx="13">
                  <c:v>1065.2211709557848</c:v>
                </c:pt>
                <c:pt idx="14">
                  <c:v>1319.9044423330099</c:v>
                </c:pt>
                <c:pt idx="15">
                  <c:v>1612.2544278790724</c:v>
                </c:pt>
                <c:pt idx="16">
                  <c:v>1944.8688320194094</c:v>
                </c:pt>
                <c:pt idx="17">
                  <c:v>2320.3453591794578</c:v>
                </c:pt>
                <c:pt idx="18">
                  <c:v>2741.2817137846546</c:v>
                </c:pt>
                <c:pt idx="19">
                  <c:v>3210.2756002604374</c:v>
                </c:pt>
                <c:pt idx="20">
                  <c:v>3500</c:v>
                </c:pt>
                <c:pt idx="21">
                  <c:v>3500</c:v>
                </c:pt>
                <c:pt idx="22">
                  <c:v>3500</c:v>
                </c:pt>
                <c:pt idx="23">
                  <c:v>3500</c:v>
                </c:pt>
                <c:pt idx="24">
                  <c:v>3500</c:v>
                </c:pt>
                <c:pt idx="25">
                  <c:v>3500</c:v>
                </c:pt>
                <c:pt idx="26">
                  <c:v>3500</c:v>
                </c:pt>
                <c:pt idx="27">
                  <c:v>3500</c:v>
                </c:pt>
                <c:pt idx="28">
                  <c:v>3500</c:v>
                </c:pt>
                <c:pt idx="29">
                  <c:v>3500</c:v>
                </c:pt>
                <c:pt idx="30">
                  <c:v>3500</c:v>
                </c:pt>
                <c:pt idx="31">
                  <c:v>3500</c:v>
                </c:pt>
                <c:pt idx="32">
                  <c:v>3500</c:v>
                </c:pt>
                <c:pt idx="33">
                  <c:v>3500</c:v>
                </c:pt>
                <c:pt idx="34">
                  <c:v>3500</c:v>
                </c:pt>
                <c:pt idx="35">
                  <c:v>3500</c:v>
                </c:pt>
                <c:pt idx="36">
                  <c:v>3500</c:v>
                </c:pt>
                <c:pt idx="37">
                  <c:v>3500</c:v>
                </c:pt>
                <c:pt idx="38">
                  <c:v>3500</c:v>
                </c:pt>
                <c:pt idx="39">
                  <c:v>3500</c:v>
                </c:pt>
                <c:pt idx="40">
                  <c:v>3500</c:v>
                </c:pt>
              </c:numCache>
            </c:numRef>
          </c:val>
          <c:smooth val="0"/>
          <c:extLst>
            <c:ext xmlns:c16="http://schemas.microsoft.com/office/drawing/2014/chart" uri="{C3380CC4-5D6E-409C-BE32-E72D297353CC}">
              <c16:uniqueId val="{00000000-F1C3-48DA-AA4C-EC932EEC972B}"/>
            </c:ext>
          </c:extLst>
        </c:ser>
        <c:dLbls>
          <c:showLegendKey val="0"/>
          <c:showVal val="0"/>
          <c:showCatName val="0"/>
          <c:showSerName val="0"/>
          <c:showPercent val="0"/>
          <c:showBubbleSize val="0"/>
        </c:dLbls>
        <c:smooth val="0"/>
        <c:axId val="617159279"/>
        <c:axId val="622666847"/>
      </c:lineChart>
      <c:catAx>
        <c:axId val="617159279"/>
        <c:scaling>
          <c:orientation val="minMax"/>
        </c:scaling>
        <c:delete val="0"/>
        <c:axPos val="b"/>
        <c:numFmt formatCode="0.00&quot; m/s&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2666847"/>
        <c:crosses val="autoZero"/>
        <c:auto val="1"/>
        <c:lblAlgn val="ctr"/>
        <c:lblOffset val="100"/>
        <c:noMultiLvlLbl val="0"/>
      </c:catAx>
      <c:valAx>
        <c:axId val="622666847"/>
        <c:scaling>
          <c:orientation val="minMax"/>
        </c:scaling>
        <c:delete val="0"/>
        <c:axPos val="l"/>
        <c:majorGridlines>
          <c:spPr>
            <a:ln w="9525" cap="flat" cmpd="sng" algn="ctr">
              <a:solidFill>
                <a:schemeClr val="tx1">
                  <a:lumMod val="15000"/>
                  <a:lumOff val="85000"/>
                </a:schemeClr>
              </a:solidFill>
              <a:round/>
            </a:ln>
            <a:effectLst/>
          </c:spPr>
        </c:majorGridlines>
        <c:numFmt formatCode="0.0&quot; W&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1592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'6_Wirtschaftlichkeitsrechung'!$J$61</c:f>
              <c:strCache>
                <c:ptCount val="1"/>
                <c:pt idx="0">
                  <c:v>Einsparung mit Windkraftanlage [€]</c:v>
                </c:pt>
              </c:strCache>
            </c:strRef>
          </c:tx>
          <c:spPr>
            <a:solidFill>
              <a:srgbClr val="00B050"/>
            </a:solidFill>
            <a:ln>
              <a:noFill/>
            </a:ln>
            <a:effectLst/>
          </c:spPr>
          <c:invertIfNegative val="1"/>
          <c:dLbls>
            <c:delete val="1"/>
          </c:dLbls>
          <c:val>
            <c:numRef>
              <c:f>'6_Wirtschaftlichkeitsrechung'!$J$62:$J$101</c:f>
              <c:numCache>
                <c:formatCode>#,##0.00</c:formatCode>
                <c:ptCount val="40"/>
                <c:pt idx="0">
                  <c:v>-16948.893437895775</c:v>
                </c:pt>
                <c:pt idx="1">
                  <c:v>-16339.253678928426</c:v>
                </c:pt>
                <c:pt idx="2">
                  <c:v>-15669.489727192056</c:v>
                </c:pt>
                <c:pt idx="3">
                  <c:v>-14937.96720690359</c:v>
                </c:pt>
                <c:pt idx="4">
                  <c:v>-14143.007158506476</c:v>
                </c:pt>
                <c:pt idx="5">
                  <c:v>-13282.884800712445</c:v>
                </c:pt>
                <c:pt idx="6">
                  <c:v>-12376.147523508142</c:v>
                </c:pt>
                <c:pt idx="7">
                  <c:v>-11431.062166406404</c:v>
                </c:pt>
                <c:pt idx="8">
                  <c:v>-10446.366827394488</c:v>
                </c:pt>
                <c:pt idx="9">
                  <c:v>-9420.7606328031143</c:v>
                </c:pt>
                <c:pt idx="10">
                  <c:v>-8352.9025570108206</c:v>
                </c:pt>
                <c:pt idx="11">
                  <c:v>-7241.4102066279411</c:v>
                </c:pt>
                <c:pt idx="12">
                  <c:v>-6084.858568093583</c:v>
                </c:pt>
                <c:pt idx="13">
                  <c:v>-4881.7787175868107</c:v>
                </c:pt>
                <c:pt idx="14">
                  <c:v>-3630.656492120288</c:v>
                </c:pt>
                <c:pt idx="15">
                  <c:v>-2329.93112065077</c:v>
                </c:pt>
                <c:pt idx="16">
                  <c:v>-977.99381400578932</c:v>
                </c:pt>
                <c:pt idx="17">
                  <c:v>426.81368761025078</c:v>
                </c:pt>
                <c:pt idx="18">
                  <c:v>1886.2006108041824</c:v>
                </c:pt>
                <c:pt idx="19">
                  <c:v>3401.9286901886371</c:v>
                </c:pt>
                <c:pt idx="20">
                  <c:v>3401.9286901886371</c:v>
                </c:pt>
                <c:pt idx="21">
                  <c:v>3401.9286901886371</c:v>
                </c:pt>
                <c:pt idx="22">
                  <c:v>3401.9286901886444</c:v>
                </c:pt>
                <c:pt idx="23">
                  <c:v>3401.9286901886444</c:v>
                </c:pt>
                <c:pt idx="24">
                  <c:v>3401.9286901886444</c:v>
                </c:pt>
                <c:pt idx="25">
                  <c:v>3401.9286901886517</c:v>
                </c:pt>
                <c:pt idx="26">
                  <c:v>3401.9286901886589</c:v>
                </c:pt>
                <c:pt idx="27">
                  <c:v>3401.9286901886662</c:v>
                </c:pt>
                <c:pt idx="28">
                  <c:v>3401.9286901886589</c:v>
                </c:pt>
                <c:pt idx="29">
                  <c:v>3401.9286901886662</c:v>
                </c:pt>
                <c:pt idx="30">
                  <c:v>3401.9286901886662</c:v>
                </c:pt>
                <c:pt idx="31">
                  <c:v>3401.9286901886662</c:v>
                </c:pt>
                <c:pt idx="32">
                  <c:v>3401.9286901886662</c:v>
                </c:pt>
                <c:pt idx="33">
                  <c:v>3401.9286901886808</c:v>
                </c:pt>
                <c:pt idx="34">
                  <c:v>3401.9286901886953</c:v>
                </c:pt>
                <c:pt idx="35">
                  <c:v>3401.9286901886953</c:v>
                </c:pt>
                <c:pt idx="36">
                  <c:v>3401.9286901886953</c:v>
                </c:pt>
                <c:pt idx="37">
                  <c:v>3401.9286901886953</c:v>
                </c:pt>
                <c:pt idx="38">
                  <c:v>3401.9286901887099</c:v>
                </c:pt>
                <c:pt idx="39">
                  <c:v>3401.9286901887099</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5="http://schemas.microsoft.com/office/drawing/2012/chart" uri="{02D57815-91ED-43cb-92C2-25804820EDAC}">
              <c15:filteredCategoryTitle>
                <c15:cat>
                  <c:multiLvlStrRef>
                    <c:extLst>
                      <c:ext uri="{02D57815-91ED-43cb-92C2-25804820EDAC}">
                        <c15:formulaRef>
                          <c15:sqref>'6_Wirtschaftlichkeitsrechung'!$O$62:$O$101</c15:sqref>
                        </c15:formulaRef>
                      </c:ext>
                    </c:extLst>
                  </c:multiLvlStrRef>
                </c15:cat>
              </c15:filteredCategoryTitle>
            </c:ext>
            <c:ext xmlns:c16="http://schemas.microsoft.com/office/drawing/2014/chart" uri="{C3380CC4-5D6E-409C-BE32-E72D297353CC}">
              <c16:uniqueId val="{00000000-929E-4A2B-A621-92843623E110}"/>
            </c:ext>
          </c:extLst>
        </c:ser>
        <c:dLbls>
          <c:showLegendKey val="0"/>
          <c:showVal val="1"/>
          <c:showCatName val="0"/>
          <c:showSerName val="0"/>
          <c:showPercent val="0"/>
          <c:showBubbleSize val="0"/>
        </c:dLbls>
        <c:gapWidth val="219"/>
        <c:overlap val="-27"/>
        <c:axId val="1786834767"/>
        <c:axId val="1947246815"/>
      </c:barChart>
      <c:catAx>
        <c:axId val="17868347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t>nach Jahren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de-DE"/>
          </a:p>
        </c:txPr>
        <c:crossAx val="1947246815"/>
        <c:crosses val="autoZero"/>
        <c:auto val="1"/>
        <c:lblAlgn val="ctr"/>
        <c:lblOffset val="100"/>
        <c:noMultiLvlLbl val="0"/>
      </c:catAx>
      <c:valAx>
        <c:axId val="1947246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t>Summierte Einsparung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86834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u="sng"/>
              <a:t>Vergleich Stromkosten</a:t>
            </a:r>
            <a:r>
              <a:rPr lang="de-DE" b="1" u="sng" baseline="0"/>
              <a:t>verläufe</a:t>
            </a:r>
            <a:endParaRPr lang="de-DE" b="1" u="sng"/>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'6_Wirtschaftlichkeitsrechung'!$D$61</c:f>
              <c:strCache>
                <c:ptCount val="1"/>
                <c:pt idx="0">
                  <c:v>Stromkosten Netz kumuliert [€]</c:v>
                </c:pt>
              </c:strCache>
            </c:strRef>
          </c:tx>
          <c:spPr>
            <a:ln w="28575" cap="rnd">
              <a:solidFill>
                <a:schemeClr val="accent1"/>
              </a:solidFill>
              <a:round/>
            </a:ln>
            <a:effectLst/>
          </c:spPr>
          <c:marker>
            <c:symbol val="none"/>
          </c:marker>
          <c:val>
            <c:numRef>
              <c:f>'6_Wirtschaftlichkeitsrechung'!$D$62:$D$101</c:f>
              <c:numCache>
                <c:formatCode>#,##0.00</c:formatCode>
                <c:ptCount val="40"/>
                <c:pt idx="0">
                  <c:v>1497.5029920000002</c:v>
                </c:pt>
                <c:pt idx="1">
                  <c:v>3039.9310737600003</c:v>
                </c:pt>
                <c:pt idx="2">
                  <c:v>4628.6319979728005</c:v>
                </c:pt>
                <c:pt idx="3">
                  <c:v>6264.9939499119846</c:v>
                </c:pt>
                <c:pt idx="4">
                  <c:v>7950.4467604093443</c:v>
                </c:pt>
                <c:pt idx="5">
                  <c:v>9686.4631552216251</c:v>
                </c:pt>
                <c:pt idx="6">
                  <c:v>11474.560041878274</c:v>
                </c:pt>
                <c:pt idx="7">
                  <c:v>13316.299835134623</c:v>
                </c:pt>
                <c:pt idx="8">
                  <c:v>15213.291822188663</c:v>
                </c:pt>
                <c:pt idx="9">
                  <c:v>17167.193568854324</c:v>
                </c:pt>
                <c:pt idx="10">
                  <c:v>19179.712367919954</c:v>
                </c:pt>
                <c:pt idx="11">
                  <c:v>21252.606730957552</c:v>
                </c:pt>
                <c:pt idx="12">
                  <c:v>23387.687924886279</c:v>
                </c:pt>
                <c:pt idx="13">
                  <c:v>25586.821554632868</c:v>
                </c:pt>
                <c:pt idx="14">
                  <c:v>27851.929193271855</c:v>
                </c:pt>
                <c:pt idx="15">
                  <c:v>30184.990061070013</c:v>
                </c:pt>
                <c:pt idx="16">
                  <c:v>32588.042754902115</c:v>
                </c:pt>
                <c:pt idx="17">
                  <c:v>35063.187029549183</c:v>
                </c:pt>
                <c:pt idx="18">
                  <c:v>37612.585632435657</c:v>
                </c:pt>
                <c:pt idx="19">
                  <c:v>40238.466193408727</c:v>
                </c:pt>
                <c:pt idx="20">
                  <c:v>42943.123171210987</c:v>
                </c:pt>
                <c:pt idx="21">
                  <c:v>45728.919858347319</c:v>
                </c:pt>
                <c:pt idx="22">
                  <c:v>48598.290446097737</c:v>
                </c:pt>
                <c:pt idx="23">
                  <c:v>51553.74215148067</c:v>
                </c:pt>
                <c:pt idx="24">
                  <c:v>54597.857408025091</c:v>
                </c:pt>
                <c:pt idx="25">
                  <c:v>57733.296122265849</c:v>
                </c:pt>
                <c:pt idx="26">
                  <c:v>60962.797997933827</c:v>
                </c:pt>
                <c:pt idx="27">
                  <c:v>64289.184929871844</c:v>
                </c:pt>
                <c:pt idx="28">
                  <c:v>67715.363469767995</c:v>
                </c:pt>
                <c:pt idx="29">
                  <c:v>71244.327365861041</c:v>
                </c:pt>
                <c:pt idx="30">
                  <c:v>74879.160178836872</c:v>
                </c:pt>
                <c:pt idx="31">
                  <c:v>78623.037976201973</c:v>
                </c:pt>
                <c:pt idx="32">
                  <c:v>82479.232107488031</c:v>
                </c:pt>
                <c:pt idx="33">
                  <c:v>86451.11206271268</c:v>
                </c:pt>
                <c:pt idx="34">
                  <c:v>90542.148416594064</c:v>
                </c:pt>
                <c:pt idx="35">
                  <c:v>94755.915861091882</c:v>
                </c:pt>
                <c:pt idx="36">
                  <c:v>99096.096328924643</c:v>
                </c:pt>
                <c:pt idx="37">
                  <c:v>103566.48221079238</c:v>
                </c:pt>
                <c:pt idx="38">
                  <c:v>108170.97966911616</c:v>
                </c:pt>
                <c:pt idx="39">
                  <c:v>112913.61205118964</c:v>
                </c:pt>
              </c:numCache>
            </c:numRef>
          </c:val>
          <c:smooth val="0"/>
          <c:extLst>
            <c:ext xmlns:c16="http://schemas.microsoft.com/office/drawing/2014/chart" uri="{C3380CC4-5D6E-409C-BE32-E72D297353CC}">
              <c16:uniqueId val="{00000000-138E-4A89-B3C8-1874105B7E5F}"/>
            </c:ext>
          </c:extLst>
        </c:ser>
        <c:ser>
          <c:idx val="1"/>
          <c:order val="1"/>
          <c:tx>
            <c:strRef>
              <c:f>'6_Wirtschaftlichkeitsrechung'!$I$61</c:f>
              <c:strCache>
                <c:ptCount val="1"/>
                <c:pt idx="0">
                  <c:v>kumulierte Kosten Windkraftanlage [€]</c:v>
                </c:pt>
              </c:strCache>
            </c:strRef>
          </c:tx>
          <c:spPr>
            <a:ln w="28575" cap="rnd">
              <a:solidFill>
                <a:schemeClr val="accent2"/>
              </a:solidFill>
              <a:round/>
            </a:ln>
            <a:effectLst/>
          </c:spPr>
          <c:marker>
            <c:symbol val="none"/>
          </c:marker>
          <c:val>
            <c:numRef>
              <c:f>'6_Wirtschaftlichkeitsrechung'!$I$62:$I$101</c:f>
              <c:numCache>
                <c:formatCode>#,##0.00</c:formatCode>
                <c:ptCount val="40"/>
                <c:pt idx="0">
                  <c:v>18446.396429895776</c:v>
                </c:pt>
                <c:pt idx="1">
                  <c:v>19379.184752688427</c:v>
                </c:pt>
                <c:pt idx="2">
                  <c:v>20298.121725164856</c:v>
                </c:pt>
                <c:pt idx="3">
                  <c:v>21202.961156815574</c:v>
                </c:pt>
                <c:pt idx="4">
                  <c:v>22093.45391891582</c:v>
                </c:pt>
                <c:pt idx="5">
                  <c:v>22969.34795593407</c:v>
                </c:pt>
                <c:pt idx="6">
                  <c:v>23850.707565386416</c:v>
                </c:pt>
                <c:pt idx="7">
                  <c:v>24747.362001541027</c:v>
                </c:pt>
                <c:pt idx="8">
                  <c:v>25659.658649583151</c:v>
                </c:pt>
                <c:pt idx="9">
                  <c:v>26587.954201657438</c:v>
                </c:pt>
                <c:pt idx="10">
                  <c:v>27532.614924930775</c:v>
                </c:pt>
                <c:pt idx="11">
                  <c:v>28494.016937585493</c:v>
                </c:pt>
                <c:pt idx="12">
                  <c:v>29472.546492979862</c:v>
                </c:pt>
                <c:pt idx="13">
                  <c:v>30468.600272219679</c:v>
                </c:pt>
                <c:pt idx="14">
                  <c:v>31482.585685392143</c:v>
                </c:pt>
                <c:pt idx="15">
                  <c:v>32514.921181720783</c:v>
                </c:pt>
                <c:pt idx="16">
                  <c:v>33566.036568907904</c:v>
                </c:pt>
                <c:pt idx="17">
                  <c:v>34636.373341938932</c:v>
                </c:pt>
                <c:pt idx="18">
                  <c:v>35726.385021631475</c:v>
                </c:pt>
                <c:pt idx="19">
                  <c:v>36836.53750322009</c:v>
                </c:pt>
                <c:pt idx="20">
                  <c:v>39541.19448102235</c:v>
                </c:pt>
                <c:pt idx="21">
                  <c:v>42326.991168158682</c:v>
                </c:pt>
                <c:pt idx="22">
                  <c:v>45196.361755909093</c:v>
                </c:pt>
                <c:pt idx="23">
                  <c:v>48151.813461292026</c:v>
                </c:pt>
                <c:pt idx="24">
                  <c:v>51195.928717836447</c:v>
                </c:pt>
                <c:pt idx="25">
                  <c:v>54331.367432077197</c:v>
                </c:pt>
                <c:pt idx="26">
                  <c:v>57560.869307745168</c:v>
                </c:pt>
                <c:pt idx="27">
                  <c:v>60887.256239683178</c:v>
                </c:pt>
                <c:pt idx="28">
                  <c:v>64313.434779579336</c:v>
                </c:pt>
                <c:pt idx="29">
                  <c:v>67842.398675672375</c:v>
                </c:pt>
                <c:pt idx="30">
                  <c:v>71477.231488648205</c:v>
                </c:pt>
                <c:pt idx="31">
                  <c:v>75221.109286013307</c:v>
                </c:pt>
                <c:pt idx="32">
                  <c:v>79077.303417299365</c:v>
                </c:pt>
                <c:pt idx="33">
                  <c:v>83049.183372523999</c:v>
                </c:pt>
                <c:pt idx="34">
                  <c:v>87140.219726405368</c:v>
                </c:pt>
                <c:pt idx="35">
                  <c:v>91353.987170903187</c:v>
                </c:pt>
                <c:pt idx="36">
                  <c:v>95694.167638735948</c:v>
                </c:pt>
                <c:pt idx="37">
                  <c:v>100164.55352060369</c:v>
                </c:pt>
                <c:pt idx="38">
                  <c:v>104769.05097892745</c:v>
                </c:pt>
                <c:pt idx="39">
                  <c:v>109511.68336100093</c:v>
                </c:pt>
              </c:numCache>
            </c:numRef>
          </c:val>
          <c:smooth val="0"/>
          <c:extLst>
            <c:ext xmlns:c16="http://schemas.microsoft.com/office/drawing/2014/chart" uri="{C3380CC4-5D6E-409C-BE32-E72D297353CC}">
              <c16:uniqueId val="{00000001-138E-4A89-B3C8-1874105B7E5F}"/>
            </c:ext>
          </c:extLst>
        </c:ser>
        <c:dLbls>
          <c:showLegendKey val="0"/>
          <c:showVal val="0"/>
          <c:showCatName val="0"/>
          <c:showSerName val="0"/>
          <c:showPercent val="0"/>
          <c:showBubbleSize val="0"/>
        </c:dLbls>
        <c:smooth val="0"/>
        <c:axId val="1663078192"/>
        <c:axId val="1642964192"/>
      </c:lineChart>
      <c:catAx>
        <c:axId val="166307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42964192"/>
        <c:crosses val="autoZero"/>
        <c:auto val="1"/>
        <c:lblAlgn val="ctr"/>
        <c:lblOffset val="100"/>
        <c:noMultiLvlLbl val="0"/>
      </c:catAx>
      <c:valAx>
        <c:axId val="16429641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6307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'6_Wirtschaftlichkeitsrechung'!$J$61</c:f>
              <c:strCache>
                <c:ptCount val="1"/>
                <c:pt idx="0">
                  <c:v>Einsparung mit Windkraftanlage [€]</c:v>
                </c:pt>
              </c:strCache>
            </c:strRef>
          </c:tx>
          <c:spPr>
            <a:solidFill>
              <a:srgbClr val="00B050"/>
            </a:solidFill>
            <a:ln>
              <a:noFill/>
            </a:ln>
            <a:effectLst/>
          </c:spPr>
          <c:invertIfNegative val="1"/>
          <c:cat>
            <c:strLit>
              <c:ptCount val="20"/>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'6_Wirtschaftlichkeitsrechung'!$J$62:$J$101</c15:sqref>
                  </c15:fullRef>
                </c:ext>
              </c:extLst>
              <c:f>'6_Wirtschaftlichkeitsrechung'!$J$62:$J$81</c:f>
              <c:numCache>
                <c:formatCode>#,##0.00</c:formatCode>
                <c:ptCount val="20"/>
                <c:pt idx="0">
                  <c:v>-16948.893437895775</c:v>
                </c:pt>
                <c:pt idx="1">
                  <c:v>-16339.253678928426</c:v>
                </c:pt>
                <c:pt idx="2">
                  <c:v>-15669.489727192056</c:v>
                </c:pt>
                <c:pt idx="3">
                  <c:v>-14937.96720690359</c:v>
                </c:pt>
                <c:pt idx="4">
                  <c:v>-14143.007158506476</c:v>
                </c:pt>
                <c:pt idx="5">
                  <c:v>-13282.884800712445</c:v>
                </c:pt>
                <c:pt idx="6">
                  <c:v>-12376.147523508142</c:v>
                </c:pt>
                <c:pt idx="7">
                  <c:v>-11431.062166406404</c:v>
                </c:pt>
                <c:pt idx="8">
                  <c:v>-10446.366827394488</c:v>
                </c:pt>
                <c:pt idx="9">
                  <c:v>-9420.7606328031143</c:v>
                </c:pt>
                <c:pt idx="10">
                  <c:v>-8352.9025570108206</c:v>
                </c:pt>
                <c:pt idx="11">
                  <c:v>-7241.4102066279411</c:v>
                </c:pt>
                <c:pt idx="12">
                  <c:v>-6084.858568093583</c:v>
                </c:pt>
                <c:pt idx="13">
                  <c:v>-4881.7787175868107</c:v>
                </c:pt>
                <c:pt idx="14">
                  <c:v>-3630.656492120288</c:v>
                </c:pt>
                <c:pt idx="15">
                  <c:v>-2329.93112065077</c:v>
                </c:pt>
                <c:pt idx="16">
                  <c:v>-977.99381400578932</c:v>
                </c:pt>
                <c:pt idx="17">
                  <c:v>426.81368761025078</c:v>
                </c:pt>
                <c:pt idx="18">
                  <c:v>1886.2006108041824</c:v>
                </c:pt>
                <c:pt idx="19">
                  <c:v>3401.9286901886371</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5="http://schemas.microsoft.com/office/drawing/2012/chart" uri="{02D57815-91ED-43cb-92C2-25804820EDAC}">
              <c15:filteredCategoryTitle>
                <c15:cat>
                  <c:multiLvlStrRef>
                    <c:extLst>
                      <c:ext uri="{02D57815-91ED-43cb-92C2-25804820EDAC}">
                        <c15:formulaRef>
                          <c15:sqref>'6_Wirtschaftlichkeitsrechung'!$O$62:$O$101</c15:sqref>
                        </c15:formulaRef>
                      </c:ext>
                    </c:extLst>
                  </c:multiLvlStrRef>
                </c15:cat>
              </c15:filteredCategoryTitle>
            </c:ext>
            <c:ext xmlns:c16="http://schemas.microsoft.com/office/drawing/2014/chart" uri="{C3380CC4-5D6E-409C-BE32-E72D297353CC}">
              <c16:uniqueId val="{00000000-E317-47BE-BB78-1736BD9FF55D}"/>
            </c:ext>
          </c:extLst>
        </c:ser>
        <c:dLbls>
          <c:showLegendKey val="0"/>
          <c:showVal val="0"/>
          <c:showCatName val="0"/>
          <c:showSerName val="0"/>
          <c:showPercent val="0"/>
          <c:showBubbleSize val="0"/>
        </c:dLbls>
        <c:gapWidth val="219"/>
        <c:overlap val="-27"/>
        <c:axId val="1786834767"/>
        <c:axId val="1947246815"/>
      </c:barChart>
      <c:catAx>
        <c:axId val="17868347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t>nach Jahren [Jahr 1 bis Jahr 20]</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de-DE"/>
          </a:p>
        </c:txPr>
        <c:crossAx val="1947246815"/>
        <c:crosses val="autoZero"/>
        <c:auto val="1"/>
        <c:lblAlgn val="ctr"/>
        <c:lblOffset val="100"/>
        <c:noMultiLvlLbl val="0"/>
      </c:catAx>
      <c:valAx>
        <c:axId val="1947246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t>Summierte</a:t>
                </a:r>
                <a:r>
                  <a:rPr lang="de-DE" b="1" baseline="0"/>
                  <a:t> Einsparung</a:t>
                </a:r>
                <a:endParaRPr lang="de-DE"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868347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186266</xdr:rowOff>
    </xdr:from>
    <xdr:to>
      <xdr:col>12</xdr:col>
      <xdr:colOff>160020</xdr:colOff>
      <xdr:row>45</xdr:row>
      <xdr:rowOff>47894</xdr:rowOff>
    </xdr:to>
    <xdr:pic>
      <xdr:nvPicPr>
        <xdr:cNvPr id="3" name="Grafik 2">
          <a:extLst>
            <a:ext uri="{FF2B5EF4-FFF2-40B4-BE49-F238E27FC236}">
              <a16:creationId xmlns:a16="http://schemas.microsoft.com/office/drawing/2014/main" id="{CB75B604-C5E5-447D-A86A-BD27883D781C}"/>
            </a:ext>
          </a:extLst>
        </xdr:cNvPr>
        <xdr:cNvPicPr>
          <a:picLocks noChangeAspect="1"/>
        </xdr:cNvPicPr>
      </xdr:nvPicPr>
      <xdr:blipFill>
        <a:blip xmlns:r="http://schemas.openxmlformats.org/officeDocument/2006/relationships" r:embed="rId1"/>
        <a:stretch>
          <a:fillRect/>
        </a:stretch>
      </xdr:blipFill>
      <xdr:spPr>
        <a:xfrm>
          <a:off x="0" y="2802466"/>
          <a:ext cx="9000067" cy="5635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262883</xdr:colOff>
      <xdr:row>32</xdr:row>
      <xdr:rowOff>125802</xdr:rowOff>
    </xdr:from>
    <xdr:to>
      <xdr:col>14</xdr:col>
      <xdr:colOff>472827</xdr:colOff>
      <xdr:row>36</xdr:row>
      <xdr:rowOff>118182</xdr:rowOff>
    </xdr:to>
    <xdr:sp macro="" textlink="">
      <xdr:nvSpPr>
        <xdr:cNvPr id="2" name="Textfeld 1">
          <a:extLst>
            <a:ext uri="{FF2B5EF4-FFF2-40B4-BE49-F238E27FC236}">
              <a16:creationId xmlns:a16="http://schemas.microsoft.com/office/drawing/2014/main" id="{B5CF7E4E-4817-469B-9180-FF8985C449B9}"/>
            </a:ext>
          </a:extLst>
        </xdr:cNvPr>
        <xdr:cNvSpPr txBox="1"/>
      </xdr:nvSpPr>
      <xdr:spPr>
        <a:xfrm rot="1549189">
          <a:off x="1055363" y="6960942"/>
          <a:ext cx="10550284"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800" b="1">
              <a:solidFill>
                <a:srgbClr val="00B050"/>
              </a:solidFill>
            </a:rPr>
            <a:t>Beispieldaten für eine</a:t>
          </a:r>
          <a:r>
            <a:rPr lang="de-DE" sz="4800" b="1" baseline="0">
              <a:solidFill>
                <a:srgbClr val="00B050"/>
              </a:solidFill>
            </a:rPr>
            <a:t> Windmessung</a:t>
          </a:r>
          <a:endParaRPr lang="de-DE" sz="4800" b="1">
            <a:solidFill>
              <a:srgbClr val="00B05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111</xdr:row>
      <xdr:rowOff>136320</xdr:rowOff>
    </xdr:from>
    <xdr:to>
      <xdr:col>21</xdr:col>
      <xdr:colOff>309823</xdr:colOff>
      <xdr:row>139</xdr:row>
      <xdr:rowOff>159098</xdr:rowOff>
    </xdr:to>
    <xdr:graphicFrame macro="">
      <xdr:nvGraphicFramePr>
        <xdr:cNvPr id="4" name="Diagramm 3">
          <a:extLst>
            <a:ext uri="{FF2B5EF4-FFF2-40B4-BE49-F238E27FC236}">
              <a16:creationId xmlns:a16="http://schemas.microsoft.com/office/drawing/2014/main" id="{46ABEDAB-B4D6-4CDB-BB42-D6C94C64C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101600</xdr:colOff>
      <xdr:row>76</xdr:row>
      <xdr:rowOff>12700</xdr:rowOff>
    </xdr:from>
    <xdr:to>
      <xdr:col>14</xdr:col>
      <xdr:colOff>152400</xdr:colOff>
      <xdr:row>95</xdr:row>
      <xdr:rowOff>67733</xdr:rowOff>
    </xdr:to>
    <xdr:graphicFrame macro="">
      <xdr:nvGraphicFramePr>
        <xdr:cNvPr id="2" name="Diagramm 1">
          <a:extLst>
            <a:ext uri="{FF2B5EF4-FFF2-40B4-BE49-F238E27FC236}">
              <a16:creationId xmlns:a16="http://schemas.microsoft.com/office/drawing/2014/main" id="{43B80D62-C213-4138-873A-3427E75F32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105</xdr:row>
      <xdr:rowOff>136461</xdr:rowOff>
    </xdr:from>
    <xdr:to>
      <xdr:col>10</xdr:col>
      <xdr:colOff>588065</xdr:colOff>
      <xdr:row>125</xdr:row>
      <xdr:rowOff>71031</xdr:rowOff>
    </xdr:to>
    <xdr:graphicFrame macro="">
      <xdr:nvGraphicFramePr>
        <xdr:cNvPr id="2" name="Diagramm 1">
          <a:extLst>
            <a:ext uri="{FF2B5EF4-FFF2-40B4-BE49-F238E27FC236}">
              <a16:creationId xmlns:a16="http://schemas.microsoft.com/office/drawing/2014/main" id="{0133133A-D21E-46CD-B15E-0B7C10CD8F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125</xdr:row>
      <xdr:rowOff>176646</xdr:rowOff>
    </xdr:from>
    <xdr:to>
      <xdr:col>4</xdr:col>
      <xdr:colOff>589820</xdr:colOff>
      <xdr:row>144</xdr:row>
      <xdr:rowOff>55034</xdr:rowOff>
    </xdr:to>
    <xdr:graphicFrame macro="">
      <xdr:nvGraphicFramePr>
        <xdr:cNvPr id="4" name="Diagramm 3">
          <a:extLst>
            <a:ext uri="{FF2B5EF4-FFF2-40B4-BE49-F238E27FC236}">
              <a16:creationId xmlns:a16="http://schemas.microsoft.com/office/drawing/2014/main" id="{E6D4C50B-780E-418B-A13D-81CF7E58A6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xdr:col>
      <xdr:colOff>248073</xdr:colOff>
      <xdr:row>18</xdr:row>
      <xdr:rowOff>130629</xdr:rowOff>
    </xdr:from>
    <xdr:ext cx="2288300" cy="522513"/>
    <mc:AlternateContent xmlns:mc="http://schemas.openxmlformats.org/markup-compatibility/2006" xmlns:a14="http://schemas.microsoft.com/office/drawing/2010/main">
      <mc:Choice Requires="a14">
        <xdr:sp macro="" textlink="">
          <xdr:nvSpPr>
            <xdr:cNvPr id="17" name="Textfeld 16">
              <a:extLst>
                <a:ext uri="{FF2B5EF4-FFF2-40B4-BE49-F238E27FC236}">
                  <a16:creationId xmlns:a16="http://schemas.microsoft.com/office/drawing/2014/main" id="{D1F8ED29-BF18-4D39-896A-A7248A1D954E}"/>
                </a:ext>
              </a:extLst>
            </xdr:cNvPr>
            <xdr:cNvSpPr txBox="1"/>
          </xdr:nvSpPr>
          <xdr:spPr>
            <a:xfrm>
              <a:off x="10491530" y="11462658"/>
              <a:ext cx="2288300" cy="5225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de-DE" sz="1600" i="1">
                      <a:latin typeface="Cambria Math" panose="02040503050406030204" pitchFamily="18" charset="0"/>
                    </a:rPr>
                    <m:t>𝑑</m:t>
                  </m:r>
                </m:oMath>
              </a14:m>
              <a:r>
                <a:rPr lang="el-GR" sz="1600" b="0" i="1" u="none" strike="noStrike" baseline="0">
                  <a:solidFill>
                    <a:schemeClr val="tx1"/>
                  </a:solidFill>
                  <a:latin typeface="+mn-lt"/>
                  <a:ea typeface="+mn-ea"/>
                  <a:cs typeface="+mn-cs"/>
                </a:rPr>
                <a:t>Φ</a:t>
              </a:r>
              <a:r>
                <a:rPr lang="de-DE" sz="1600" b="0" i="1" u="none" strike="noStrike" baseline="0">
                  <a:solidFill>
                    <a:schemeClr val="tx1"/>
                  </a:solidFill>
                  <a:latin typeface="+mn-lt"/>
                  <a:ea typeface="+mn-ea"/>
                  <a:cs typeface="+mn-cs"/>
                </a:rPr>
                <a:t>/dv=</a:t>
              </a:r>
              <a14:m>
                <m:oMath xmlns:m="http://schemas.openxmlformats.org/officeDocument/2006/math">
                  <m:f>
                    <m:fPr>
                      <m:ctrlPr>
                        <a:rPr lang="de-DE" sz="1600" b="0" i="1" u="none" strike="noStrike" baseline="0" smtClean="0">
                          <a:solidFill>
                            <a:schemeClr val="tx1"/>
                          </a:solidFill>
                          <a:latin typeface="Cambria Math" panose="02040503050406030204" pitchFamily="18" charset="0"/>
                          <a:ea typeface="+mn-ea"/>
                          <a:cs typeface="+mn-cs"/>
                        </a:rPr>
                      </m:ctrlPr>
                    </m:fPr>
                    <m:num>
                      <m:r>
                        <a:rPr lang="de-DE" sz="1600" b="0" i="1" u="none" strike="noStrike" baseline="0" smtClean="0">
                          <a:solidFill>
                            <a:schemeClr val="tx1"/>
                          </a:solidFill>
                          <a:latin typeface="Cambria Math" panose="02040503050406030204" pitchFamily="18" charset="0"/>
                          <a:ea typeface="+mn-ea"/>
                          <a:cs typeface="+mn-cs"/>
                        </a:rPr>
                        <m:t>𝑘</m:t>
                      </m:r>
                    </m:num>
                    <m:den>
                      <m:r>
                        <a:rPr lang="de-DE" sz="1600" b="0" i="1" u="none" strike="noStrike" baseline="0" smtClean="0">
                          <a:solidFill>
                            <a:schemeClr val="tx1"/>
                          </a:solidFill>
                          <a:latin typeface="Cambria Math" panose="02040503050406030204" pitchFamily="18" charset="0"/>
                          <a:ea typeface="+mn-ea"/>
                          <a:cs typeface="+mn-cs"/>
                        </a:rPr>
                        <m:t>𝐴</m:t>
                      </m:r>
                    </m:den>
                  </m:f>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m:t>
                  </m:r>
                  <m:sSup>
                    <m:sSupPr>
                      <m:ctrlP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ctrlPr>
                    </m:sSupPr>
                    <m:e>
                      <m:f>
                        <m:fPr>
                          <m:ctrlP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ctrlPr>
                        </m:fPr>
                        <m:num>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𝑣</m:t>
                          </m:r>
                        </m:num>
                        <m:den>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𝐴</m:t>
                          </m:r>
                        </m:den>
                      </m:f>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m:t>
                      </m:r>
                    </m:e>
                    <m:sup>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𝑘</m:t>
                      </m:r>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−1</m:t>
                      </m:r>
                    </m:sup>
                  </m:sSup>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m:t>
                  </m:r>
                  <m:sSup>
                    <m:sSupPr>
                      <m:ctrlP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ctrlPr>
                    </m:sSupPr>
                    <m:e>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𝑒</m:t>
                      </m:r>
                    </m:e>
                    <m:sup>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m:t>
                      </m:r>
                      <m:sSup>
                        <m:sSupPr>
                          <m:ctrlP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ctrlPr>
                        </m:sSupPr>
                        <m:e>
                          <m:r>
                            <a:rPr lang="de-DE" sz="1600" b="0" i="1" baseline="0">
                              <a:solidFill>
                                <a:schemeClr val="tx1"/>
                              </a:solidFill>
                              <a:effectLst/>
                              <a:latin typeface="Cambria Math" panose="02040503050406030204" pitchFamily="18" charset="0"/>
                              <a:ea typeface="+mn-ea"/>
                              <a:cs typeface="+mn-cs"/>
                            </a:rPr>
                            <m:t>(</m:t>
                          </m:r>
                          <m:f>
                            <m:fPr>
                              <m:ctrlPr>
                                <a:rPr lang="de-DE" sz="1600" b="0" i="1" baseline="0">
                                  <a:solidFill>
                                    <a:schemeClr val="tx1"/>
                                  </a:solidFill>
                                  <a:effectLst/>
                                  <a:latin typeface="Cambria Math" panose="02040503050406030204" pitchFamily="18" charset="0"/>
                                  <a:ea typeface="+mn-ea"/>
                                  <a:cs typeface="+mn-cs"/>
                                </a:rPr>
                              </m:ctrlPr>
                            </m:fPr>
                            <m:num>
                              <m:r>
                                <a:rPr lang="de-DE" sz="1600" b="0" i="1" baseline="0">
                                  <a:solidFill>
                                    <a:schemeClr val="tx1"/>
                                  </a:solidFill>
                                  <a:effectLst/>
                                  <a:latin typeface="Cambria Math" panose="02040503050406030204" pitchFamily="18" charset="0"/>
                                  <a:ea typeface="+mn-ea"/>
                                  <a:cs typeface="+mn-cs"/>
                                </a:rPr>
                                <m:t>𝑣</m:t>
                              </m:r>
                            </m:num>
                            <m:den>
                              <m:r>
                                <a:rPr lang="de-DE" sz="1600" b="0" i="1" baseline="0">
                                  <a:solidFill>
                                    <a:schemeClr val="tx1"/>
                                  </a:solidFill>
                                  <a:effectLst/>
                                  <a:latin typeface="Cambria Math" panose="02040503050406030204" pitchFamily="18" charset="0"/>
                                  <a:ea typeface="+mn-ea"/>
                                  <a:cs typeface="+mn-cs"/>
                                </a:rPr>
                                <m:t>𝐴</m:t>
                              </m:r>
                            </m:den>
                          </m:f>
                          <m:r>
                            <a:rPr lang="de-DE" sz="1600" b="0" i="1" baseline="0">
                              <a:solidFill>
                                <a:schemeClr val="tx1"/>
                              </a:solidFill>
                              <a:effectLst/>
                              <a:latin typeface="Cambria Math" panose="02040503050406030204" pitchFamily="18" charset="0"/>
                              <a:ea typeface="+mn-ea"/>
                              <a:cs typeface="+mn-cs"/>
                            </a:rPr>
                            <m:t>)</m:t>
                          </m:r>
                        </m:e>
                        <m:sup>
                          <m:r>
                            <a:rPr lang="de-DE" sz="1600" b="0" i="1" u="none" strike="noStrike" baseline="0" smtClean="0">
                              <a:solidFill>
                                <a:schemeClr val="tx1"/>
                              </a:solidFill>
                              <a:latin typeface="Cambria Math" panose="02040503050406030204" pitchFamily="18" charset="0"/>
                              <a:ea typeface="Cambria Math" panose="02040503050406030204" pitchFamily="18" charset="0"/>
                              <a:cs typeface="+mn-cs"/>
                            </a:rPr>
                            <m:t>𝑘</m:t>
                          </m:r>
                        </m:sup>
                      </m:sSup>
                    </m:sup>
                  </m:sSup>
                </m:oMath>
              </a14:m>
              <a:endParaRPr lang="de-DE" sz="1600"/>
            </a:p>
          </xdr:txBody>
        </xdr:sp>
      </mc:Choice>
      <mc:Fallback xmlns="">
        <xdr:sp macro="" textlink="">
          <xdr:nvSpPr>
            <xdr:cNvPr id="17" name="Textfeld 16">
              <a:extLst>
                <a:ext uri="{FF2B5EF4-FFF2-40B4-BE49-F238E27FC236}">
                  <a16:creationId xmlns:a16="http://schemas.microsoft.com/office/drawing/2014/main" id="{D1F8ED29-BF18-4D39-896A-A7248A1D954E}"/>
                </a:ext>
              </a:extLst>
            </xdr:cNvPr>
            <xdr:cNvSpPr txBox="1"/>
          </xdr:nvSpPr>
          <xdr:spPr>
            <a:xfrm>
              <a:off x="10491530" y="11462658"/>
              <a:ext cx="2288300" cy="5225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de-DE" sz="1600" i="0">
                  <a:latin typeface="Cambria Math" panose="02040503050406030204" pitchFamily="18" charset="0"/>
                </a:rPr>
                <a:t>𝑑</a:t>
              </a:r>
              <a:r>
                <a:rPr lang="el-GR" sz="1600" b="0" i="1" u="none" strike="noStrike" baseline="0">
                  <a:solidFill>
                    <a:schemeClr val="tx1"/>
                  </a:solidFill>
                  <a:latin typeface="+mn-lt"/>
                  <a:ea typeface="+mn-ea"/>
                  <a:cs typeface="+mn-cs"/>
                </a:rPr>
                <a:t>Φ</a:t>
              </a:r>
              <a:r>
                <a:rPr lang="de-DE" sz="1600" b="0" i="1" u="none" strike="noStrike" baseline="0">
                  <a:solidFill>
                    <a:schemeClr val="tx1"/>
                  </a:solidFill>
                  <a:latin typeface="+mn-lt"/>
                  <a:ea typeface="+mn-ea"/>
                  <a:cs typeface="+mn-cs"/>
                </a:rPr>
                <a:t>/dv=</a:t>
              </a:r>
              <a:r>
                <a:rPr lang="de-DE" sz="1600" b="0" i="0" u="none" strike="noStrike" baseline="0">
                  <a:solidFill>
                    <a:schemeClr val="tx1"/>
                  </a:solidFill>
                  <a:latin typeface="Cambria Math" panose="02040503050406030204" pitchFamily="18" charset="0"/>
                  <a:ea typeface="+mn-ea"/>
                  <a:cs typeface="+mn-cs"/>
                </a:rPr>
                <a:t>𝑘/𝐴</a:t>
              </a:r>
              <a:r>
                <a:rPr lang="de-DE" sz="1600" b="0" i="0" u="none" strike="noStrike" baseline="0">
                  <a:solidFill>
                    <a:schemeClr val="tx1"/>
                  </a:solidFill>
                  <a:latin typeface="Cambria Math" panose="02040503050406030204" pitchFamily="18" charset="0"/>
                  <a:ea typeface="Cambria Math" panose="02040503050406030204" pitchFamily="18" charset="0"/>
                  <a:cs typeface="+mn-cs"/>
                </a:rPr>
                <a:t>∙(〖𝑣/𝐴)〗^(𝑘−1)∙𝑒^(−〖</a:t>
              </a:r>
              <a:r>
                <a:rPr lang="de-DE" sz="1600" b="0" i="0" baseline="0">
                  <a:solidFill>
                    <a:schemeClr val="tx1"/>
                  </a:solidFill>
                  <a:effectLst/>
                  <a:latin typeface="Cambria Math" panose="02040503050406030204" pitchFamily="18" charset="0"/>
                  <a:ea typeface="+mn-ea"/>
                  <a:cs typeface="+mn-cs"/>
                </a:rPr>
                <a:t>(𝑣/𝐴)</a:t>
              </a:r>
              <a:r>
                <a:rPr lang="de-DE" sz="1600" b="0" i="0" u="none" strike="noStrike" baseline="0">
                  <a:solidFill>
                    <a:schemeClr val="tx1"/>
                  </a:solidFill>
                  <a:effectLst/>
                  <a:latin typeface="Cambria Math" panose="02040503050406030204" pitchFamily="18" charset="0"/>
                  <a:ea typeface="Cambria Math" panose="02040503050406030204" pitchFamily="18" charset="0"/>
                  <a:cs typeface="+mn-cs"/>
                </a:rPr>
                <a:t>〗^</a:t>
              </a:r>
              <a:r>
                <a:rPr lang="de-DE" sz="1600" b="0" i="0" u="none" strike="noStrike" baseline="0">
                  <a:solidFill>
                    <a:schemeClr val="tx1"/>
                  </a:solidFill>
                  <a:latin typeface="Cambria Math" panose="02040503050406030204" pitchFamily="18" charset="0"/>
                  <a:ea typeface="Cambria Math" panose="02040503050406030204" pitchFamily="18" charset="0"/>
                  <a:cs typeface="+mn-cs"/>
                </a:rPr>
                <a:t>𝑘 )</a:t>
              </a:r>
              <a:endParaRPr lang="de-DE" sz="1600"/>
            </a:p>
          </xdr:txBody>
        </xdr:sp>
      </mc:Fallback>
    </mc:AlternateContent>
    <xdr:clientData/>
  </xdr:oneCellAnchor>
  <xdr:oneCellAnchor>
    <xdr:from>
      <xdr:col>2</xdr:col>
      <xdr:colOff>272142</xdr:colOff>
      <xdr:row>39</xdr:row>
      <xdr:rowOff>114300</xdr:rowOff>
    </xdr:from>
    <xdr:ext cx="1872343" cy="549729"/>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354E9A02-08C1-4091-9F0A-DA3B66D1D6AB}"/>
                </a:ext>
              </a:extLst>
            </xdr:cNvPr>
            <xdr:cNvSpPr txBox="1"/>
          </xdr:nvSpPr>
          <xdr:spPr>
            <a:xfrm>
              <a:off x="10515599" y="22473557"/>
              <a:ext cx="1872343" cy="54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de-DE" sz="1600" i="1">
                          <a:latin typeface="Cambria Math" panose="02040503050406030204" pitchFamily="18" charset="0"/>
                        </a:rPr>
                      </m:ctrlPr>
                    </m:sSubPr>
                    <m:e>
                      <m:r>
                        <a:rPr lang="de-DE" sz="1600" b="0" i="1">
                          <a:latin typeface="Cambria Math" panose="02040503050406030204" pitchFamily="18" charset="0"/>
                        </a:rPr>
                        <m:t>𝐸</m:t>
                      </m:r>
                    </m:e>
                    <m:sub>
                      <m:r>
                        <a:rPr lang="de-DE" sz="1600" b="0" i="1">
                          <a:latin typeface="Cambria Math" panose="02040503050406030204" pitchFamily="18" charset="0"/>
                        </a:rPr>
                        <m:t>𝑔𝑒𝑠</m:t>
                      </m:r>
                    </m:sub>
                  </m:sSub>
                </m:oMath>
              </a14:m>
              <a:r>
                <a:rPr lang="de-DE" sz="1600"/>
                <a:t>=</a:t>
              </a:r>
              <a14:m>
                <m:oMath xmlns:m="http://schemas.openxmlformats.org/officeDocument/2006/math">
                  <m:nary>
                    <m:naryPr>
                      <m:chr m:val="∑"/>
                      <m:subHide m:val="on"/>
                      <m:supHide m:val="on"/>
                      <m:ctrlPr>
                        <a:rPr lang="de-DE" sz="1600" i="1">
                          <a:latin typeface="Cambria Math" panose="02040503050406030204" pitchFamily="18" charset="0"/>
                        </a:rPr>
                      </m:ctrlPr>
                    </m:naryPr>
                    <m:sub/>
                    <m:sup/>
                    <m:e>
                      <m:sSub>
                        <m:sSubPr>
                          <m:ctrlPr>
                            <a:rPr lang="de-DE" sz="1600" i="1">
                              <a:latin typeface="Cambria Math" panose="02040503050406030204" pitchFamily="18" charset="0"/>
                            </a:rPr>
                          </m:ctrlPr>
                        </m:sSubPr>
                        <m:e>
                          <m:r>
                            <a:rPr lang="de-DE" sz="1600" b="0" i="1">
                              <a:latin typeface="Cambria Math" panose="02040503050406030204" pitchFamily="18" charset="0"/>
                            </a:rPr>
                            <m:t>h</m:t>
                          </m:r>
                        </m:e>
                        <m:sub>
                          <m:r>
                            <a:rPr lang="de-DE" sz="1600" b="0" i="1">
                              <a:latin typeface="Cambria Math" panose="02040503050406030204" pitchFamily="18" charset="0"/>
                            </a:rPr>
                            <m:t>𝑖</m:t>
                          </m:r>
                        </m:sub>
                      </m:sSub>
                    </m:e>
                  </m:nary>
                  <m:r>
                    <a:rPr lang="de-DE" sz="1600" i="1">
                      <a:latin typeface="Cambria Math" panose="02040503050406030204" pitchFamily="18" charset="0"/>
                      <a:ea typeface="Cambria Math" panose="02040503050406030204" pitchFamily="18" charset="0"/>
                    </a:rPr>
                    <m:t>∙</m:t>
                  </m:r>
                  <m:sSub>
                    <m:sSubPr>
                      <m:ctrlPr>
                        <a:rPr lang="de-DE" sz="1600" i="1">
                          <a:latin typeface="Cambria Math" panose="02040503050406030204" pitchFamily="18" charset="0"/>
                          <a:ea typeface="Cambria Math" panose="02040503050406030204" pitchFamily="18" charset="0"/>
                        </a:rPr>
                      </m:ctrlPr>
                    </m:sSubPr>
                    <m:e>
                      <m:r>
                        <a:rPr lang="de-DE" sz="1600" b="0" i="1">
                          <a:latin typeface="Cambria Math" panose="02040503050406030204" pitchFamily="18" charset="0"/>
                          <a:ea typeface="Cambria Math" panose="02040503050406030204" pitchFamily="18" charset="0"/>
                        </a:rPr>
                        <m:t>𝑃</m:t>
                      </m:r>
                    </m:e>
                    <m:sub>
                      <m:r>
                        <a:rPr lang="de-DE" sz="1600" b="0" i="1">
                          <a:latin typeface="Cambria Math" panose="02040503050406030204" pitchFamily="18" charset="0"/>
                          <a:ea typeface="Cambria Math" panose="02040503050406030204" pitchFamily="18" charset="0"/>
                        </a:rPr>
                        <m:t>𝑖</m:t>
                      </m:r>
                    </m:sub>
                  </m:sSub>
                  <m:r>
                    <a:rPr lang="de-DE" sz="1600" i="1">
                      <a:latin typeface="Cambria Math" panose="02040503050406030204" pitchFamily="18" charset="0"/>
                      <a:ea typeface="Cambria Math" panose="02040503050406030204" pitchFamily="18" charset="0"/>
                    </a:rPr>
                    <m:t>∙</m:t>
                  </m:r>
                  <m:r>
                    <a:rPr lang="de-DE" sz="1600" b="0" i="1">
                      <a:latin typeface="Cambria Math" panose="02040503050406030204" pitchFamily="18" charset="0"/>
                      <a:ea typeface="Cambria Math" panose="02040503050406030204" pitchFamily="18" charset="0"/>
                    </a:rPr>
                    <m:t>𝑇</m:t>
                  </m:r>
                  <m:r>
                    <a:rPr lang="de-DE" sz="1600" b="0" i="1">
                      <a:latin typeface="Cambria Math" panose="02040503050406030204" pitchFamily="18" charset="0"/>
                      <a:ea typeface="Cambria Math" panose="02040503050406030204" pitchFamily="18" charset="0"/>
                    </a:rPr>
                    <m:t>∙</m:t>
                  </m:r>
                  <m:r>
                    <a:rPr lang="de-DE" sz="1600" i="1">
                      <a:solidFill>
                        <a:schemeClr val="tx1"/>
                      </a:solidFill>
                      <a:effectLst/>
                      <a:latin typeface="Cambria Math" panose="02040503050406030204" pitchFamily="18" charset="0"/>
                      <a:ea typeface="+mn-ea"/>
                      <a:cs typeface="+mn-cs"/>
                    </a:rPr>
                    <m:t>𝜂</m:t>
                  </m:r>
                </m:oMath>
              </a14:m>
              <a:endParaRPr lang="de-DE" sz="1600"/>
            </a:p>
          </xdr:txBody>
        </xdr:sp>
      </mc:Choice>
      <mc:Fallback xmlns="">
        <xdr:sp macro="" textlink="">
          <xdr:nvSpPr>
            <xdr:cNvPr id="10" name="Textfeld 9">
              <a:extLst>
                <a:ext uri="{FF2B5EF4-FFF2-40B4-BE49-F238E27FC236}">
                  <a16:creationId xmlns:a16="http://schemas.microsoft.com/office/drawing/2014/main" id="{354E9A02-08C1-4091-9F0A-DA3B66D1D6AB}"/>
                </a:ext>
              </a:extLst>
            </xdr:cNvPr>
            <xdr:cNvSpPr txBox="1"/>
          </xdr:nvSpPr>
          <xdr:spPr>
            <a:xfrm>
              <a:off x="10515599" y="22473557"/>
              <a:ext cx="1872343" cy="54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de-DE" sz="1600" b="0" i="0">
                  <a:latin typeface="Cambria Math" panose="02040503050406030204" pitchFamily="18" charset="0"/>
                </a:rPr>
                <a:t>𝐸_𝑔𝑒𝑠</a:t>
              </a:r>
              <a:r>
                <a:rPr lang="de-DE" sz="1600"/>
                <a:t>=</a:t>
              </a:r>
              <a:r>
                <a:rPr lang="de-DE" sz="1600" i="0">
                  <a:latin typeface="Cambria Math" panose="02040503050406030204" pitchFamily="18" charset="0"/>
                </a:rPr>
                <a:t>∑▒</a:t>
              </a:r>
              <a:r>
                <a:rPr lang="de-DE" sz="1600" b="0" i="0">
                  <a:latin typeface="Cambria Math" panose="02040503050406030204" pitchFamily="18" charset="0"/>
                </a:rPr>
                <a:t>ℎ_𝑖 </a:t>
              </a:r>
              <a:r>
                <a:rPr lang="de-DE" sz="1600" i="0">
                  <a:latin typeface="Cambria Math" panose="02040503050406030204" pitchFamily="18" charset="0"/>
                  <a:ea typeface="Cambria Math" panose="02040503050406030204" pitchFamily="18" charset="0"/>
                </a:rPr>
                <a:t>∙</a:t>
              </a:r>
              <a:r>
                <a:rPr lang="de-DE" sz="1600" b="0" i="0">
                  <a:latin typeface="Cambria Math" panose="02040503050406030204" pitchFamily="18" charset="0"/>
                  <a:ea typeface="Cambria Math" panose="02040503050406030204" pitchFamily="18" charset="0"/>
                </a:rPr>
                <a:t>𝑃_𝑖</a:t>
              </a:r>
              <a:r>
                <a:rPr lang="de-DE" sz="1600" i="0">
                  <a:latin typeface="Cambria Math" panose="02040503050406030204" pitchFamily="18" charset="0"/>
                  <a:ea typeface="Cambria Math" panose="02040503050406030204" pitchFamily="18" charset="0"/>
                </a:rPr>
                <a:t>∙</a:t>
              </a:r>
              <a:r>
                <a:rPr lang="de-DE" sz="1600" b="0" i="0">
                  <a:latin typeface="Cambria Math" panose="02040503050406030204" pitchFamily="18" charset="0"/>
                  <a:ea typeface="Cambria Math" panose="02040503050406030204" pitchFamily="18" charset="0"/>
                </a:rPr>
                <a:t>𝑇∙</a:t>
              </a:r>
              <a:r>
                <a:rPr lang="de-DE" sz="1600" i="0">
                  <a:solidFill>
                    <a:schemeClr val="tx1"/>
                  </a:solidFill>
                  <a:effectLst/>
                  <a:latin typeface="+mn-lt"/>
                  <a:ea typeface="+mn-ea"/>
                  <a:cs typeface="+mn-cs"/>
                </a:rPr>
                <a:t>𝜂</a:t>
              </a:r>
              <a:endParaRPr lang="de-DE" sz="1600"/>
            </a:p>
          </xdr:txBody>
        </xdr:sp>
      </mc:Fallback>
    </mc:AlternateContent>
    <xdr:clientData/>
  </xdr:oneCellAnchor>
  <xdr:oneCellAnchor>
    <xdr:from>
      <xdr:col>2</xdr:col>
      <xdr:colOff>185056</xdr:colOff>
      <xdr:row>37</xdr:row>
      <xdr:rowOff>299356</xdr:rowOff>
    </xdr:from>
    <xdr:ext cx="1836272" cy="461024"/>
    <mc:AlternateContent xmlns:mc="http://schemas.openxmlformats.org/markup-compatibility/2006" xmlns:a14="http://schemas.microsoft.com/office/drawing/2010/main">
      <mc:Choice Requires="a14">
        <xdr:sp macro="" textlink="">
          <xdr:nvSpPr>
            <xdr:cNvPr id="11" name="Textfeld 10">
              <a:extLst>
                <a:ext uri="{FF2B5EF4-FFF2-40B4-BE49-F238E27FC236}">
                  <a16:creationId xmlns:a16="http://schemas.microsoft.com/office/drawing/2014/main" id="{0928C654-84AB-486F-B693-AFC63E701093}"/>
                </a:ext>
              </a:extLst>
            </xdr:cNvPr>
            <xdr:cNvSpPr txBox="1"/>
          </xdr:nvSpPr>
          <xdr:spPr>
            <a:xfrm>
              <a:off x="10428513" y="20960442"/>
              <a:ext cx="1836272"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panose="02040503050406030204" pitchFamily="18" charset="0"/>
                          </a:rPr>
                          <m:t>𝑃</m:t>
                        </m:r>
                      </m:e>
                      <m:sub>
                        <m:r>
                          <a:rPr lang="de-DE" sz="1600" b="0" i="1">
                            <a:latin typeface="Cambria Math" panose="02040503050406030204" pitchFamily="18" charset="0"/>
                          </a:rPr>
                          <m:t>𝑖</m:t>
                        </m:r>
                        <m:r>
                          <a:rPr lang="de-DE" sz="1600" b="0" i="1">
                            <a:latin typeface="Cambria Math" panose="02040503050406030204" pitchFamily="18" charset="0"/>
                          </a:rPr>
                          <m:t> </m:t>
                        </m:r>
                      </m:sub>
                    </m:sSub>
                    <m:r>
                      <a:rPr lang="de-DE" sz="1600" i="1">
                        <a:latin typeface="Cambria Math" panose="02040503050406030204" pitchFamily="18" charset="0"/>
                        <a:ea typeface="Cambria Math" panose="02040503050406030204" pitchFamily="18" charset="0"/>
                      </a:rPr>
                      <m:t>=</m:t>
                    </m:r>
                    <m:r>
                      <a:rPr lang="de-DE" sz="1600" b="0" i="1">
                        <a:latin typeface="Cambria Math" panose="02040503050406030204" pitchFamily="18" charset="0"/>
                        <a:ea typeface="Cambria Math" panose="02040503050406030204" pitchFamily="18" charset="0"/>
                      </a:rPr>
                      <m:t> </m:t>
                    </m:r>
                    <m:f>
                      <m:fPr>
                        <m:ctrlPr>
                          <a:rPr lang="de-DE" sz="1600" b="0" i="1">
                            <a:latin typeface="Cambria Math" panose="02040503050406030204" pitchFamily="18" charset="0"/>
                            <a:ea typeface="Cambria Math" panose="02040503050406030204" pitchFamily="18" charset="0"/>
                          </a:rPr>
                        </m:ctrlPr>
                      </m:fPr>
                      <m:num>
                        <m:r>
                          <a:rPr lang="de-DE" sz="1600" b="0" i="1">
                            <a:latin typeface="Cambria Math" panose="02040503050406030204" pitchFamily="18" charset="0"/>
                            <a:ea typeface="Cambria Math" panose="02040503050406030204" pitchFamily="18" charset="0"/>
                          </a:rPr>
                          <m:t>1</m:t>
                        </m:r>
                      </m:num>
                      <m:den>
                        <m:r>
                          <a:rPr lang="de-DE" sz="1600" b="0" i="1">
                            <a:latin typeface="Cambria Math" panose="02040503050406030204" pitchFamily="18" charset="0"/>
                            <a:ea typeface="Cambria Math" panose="02040503050406030204" pitchFamily="18" charset="0"/>
                          </a:rPr>
                          <m:t>2</m:t>
                        </m:r>
                      </m:den>
                    </m:f>
                    <m:r>
                      <a:rPr lang="de-DE" sz="1600" b="0" i="1">
                        <a:latin typeface="Cambria Math" panose="02040503050406030204" pitchFamily="18" charset="0"/>
                        <a:ea typeface="Cambria Math" panose="02040503050406030204" pitchFamily="18" charset="0"/>
                      </a:rPr>
                      <m:t> ∙ </m:t>
                    </m:r>
                    <m:r>
                      <a:rPr lang="el-GR" sz="1600" b="0" i="1">
                        <a:latin typeface="Cambria Math" panose="02040503050406030204" pitchFamily="18" charset="0"/>
                        <a:ea typeface="Cambria Math" panose="02040503050406030204" pitchFamily="18" charset="0"/>
                      </a:rPr>
                      <m:t>𝜌</m:t>
                    </m:r>
                    <m:r>
                      <a:rPr lang="de-DE" sz="1600" b="0" i="1">
                        <a:latin typeface="Cambria Math" panose="02040503050406030204" pitchFamily="18" charset="0"/>
                        <a:ea typeface="Cambria Math" panose="02040503050406030204" pitchFamily="18" charset="0"/>
                      </a:rPr>
                      <m:t> ∙</m:t>
                    </m:r>
                    <m:r>
                      <a:rPr lang="de-DE" sz="1600" b="0" i="1">
                        <a:latin typeface="Cambria Math" panose="02040503050406030204" pitchFamily="18" charset="0"/>
                        <a:ea typeface="Cambria Math" panose="02040503050406030204" pitchFamily="18" charset="0"/>
                      </a:rPr>
                      <m:t>𝐹</m:t>
                    </m:r>
                    <m:r>
                      <a:rPr lang="de-DE" sz="1600" b="0" i="1">
                        <a:latin typeface="Cambria Math" panose="02040503050406030204" pitchFamily="18" charset="0"/>
                        <a:ea typeface="Cambria Math" panose="02040503050406030204" pitchFamily="18" charset="0"/>
                      </a:rPr>
                      <m:t> ∙ </m:t>
                    </m:r>
                    <m:sSubSup>
                      <m:sSubSupPr>
                        <m:ctrlPr>
                          <a:rPr lang="de-DE" sz="1600" b="0" i="1">
                            <a:latin typeface="Cambria Math" panose="02040503050406030204" pitchFamily="18" charset="0"/>
                            <a:ea typeface="Cambria Math" panose="02040503050406030204" pitchFamily="18" charset="0"/>
                          </a:rPr>
                        </m:ctrlPr>
                      </m:sSubSupPr>
                      <m:e>
                        <m:r>
                          <a:rPr lang="de-DE" sz="1600" b="0" i="1">
                            <a:latin typeface="Cambria Math" panose="02040503050406030204" pitchFamily="18" charset="0"/>
                            <a:ea typeface="Cambria Math" panose="02040503050406030204" pitchFamily="18" charset="0"/>
                          </a:rPr>
                          <m:t>𝑣</m:t>
                        </m:r>
                      </m:e>
                      <m:sub>
                        <m:r>
                          <a:rPr lang="de-DE" sz="1600" b="0" i="1">
                            <a:latin typeface="Cambria Math" panose="02040503050406030204" pitchFamily="18" charset="0"/>
                            <a:ea typeface="Cambria Math" panose="02040503050406030204" pitchFamily="18" charset="0"/>
                          </a:rPr>
                          <m:t>𝑤</m:t>
                        </m:r>
                      </m:sub>
                      <m:sup>
                        <m:r>
                          <a:rPr lang="de-DE" sz="1600" b="0" i="1">
                            <a:latin typeface="Cambria Math" panose="02040503050406030204" pitchFamily="18" charset="0"/>
                            <a:ea typeface="Cambria Math" panose="02040503050406030204" pitchFamily="18" charset="0"/>
                          </a:rPr>
                          <m:t>3</m:t>
                        </m:r>
                      </m:sup>
                    </m:sSubSup>
                  </m:oMath>
                </m:oMathPara>
              </a14:m>
              <a:endParaRPr lang="de-DE" sz="1600"/>
            </a:p>
          </xdr:txBody>
        </xdr:sp>
      </mc:Choice>
      <mc:Fallback xmlns="">
        <xdr:sp macro="" textlink="">
          <xdr:nvSpPr>
            <xdr:cNvPr id="11" name="Textfeld 10">
              <a:extLst>
                <a:ext uri="{FF2B5EF4-FFF2-40B4-BE49-F238E27FC236}">
                  <a16:creationId xmlns:a16="http://schemas.microsoft.com/office/drawing/2014/main" id="{0928C654-84AB-486F-B693-AFC63E701093}"/>
                </a:ext>
              </a:extLst>
            </xdr:cNvPr>
            <xdr:cNvSpPr txBox="1"/>
          </xdr:nvSpPr>
          <xdr:spPr>
            <a:xfrm>
              <a:off x="10428513" y="20960442"/>
              <a:ext cx="1836272" cy="461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600" b="0" i="0">
                  <a:latin typeface="Cambria Math" panose="02040503050406030204" pitchFamily="18" charset="0"/>
                </a:rPr>
                <a:t>𝑃_(𝑖 )</a:t>
              </a:r>
              <a:r>
                <a:rPr lang="de-DE" sz="1600" i="0">
                  <a:latin typeface="Cambria Math" panose="02040503050406030204" pitchFamily="18" charset="0"/>
                  <a:ea typeface="Cambria Math" panose="02040503050406030204" pitchFamily="18" charset="0"/>
                </a:rPr>
                <a:t>=</a:t>
              </a:r>
              <a:r>
                <a:rPr lang="de-DE" sz="1600" b="0" i="0">
                  <a:latin typeface="Cambria Math" panose="02040503050406030204" pitchFamily="18" charset="0"/>
                  <a:ea typeface="Cambria Math" panose="02040503050406030204" pitchFamily="18" charset="0"/>
                </a:rPr>
                <a:t>  1/2  ∙ </a:t>
              </a:r>
              <a:r>
                <a:rPr lang="el-GR" sz="1600" b="0" i="0">
                  <a:latin typeface="Cambria Math" panose="02040503050406030204" pitchFamily="18" charset="0"/>
                  <a:ea typeface="Cambria Math" panose="02040503050406030204" pitchFamily="18" charset="0"/>
                </a:rPr>
                <a:t>𝜌</a:t>
              </a:r>
              <a:r>
                <a:rPr lang="de-DE" sz="1600" b="0" i="0">
                  <a:latin typeface="Cambria Math" panose="02040503050406030204" pitchFamily="18" charset="0"/>
                  <a:ea typeface="Cambria Math" panose="02040503050406030204" pitchFamily="18" charset="0"/>
                </a:rPr>
                <a:t> ∙𝐹 ∙ 𝑣_𝑤^3</a:t>
              </a:r>
              <a:endParaRPr lang="de-DE" sz="1600"/>
            </a:p>
          </xdr:txBody>
        </xdr:sp>
      </mc:Fallback>
    </mc:AlternateContent>
    <xdr:clientData/>
  </xdr:oneCellAnchor>
  <xdr:oneCellAnchor>
    <xdr:from>
      <xdr:col>2</xdr:col>
      <xdr:colOff>32657</xdr:colOff>
      <xdr:row>36</xdr:row>
      <xdr:rowOff>310240</xdr:rowOff>
    </xdr:from>
    <xdr:ext cx="2122714" cy="931602"/>
    <mc:AlternateContent xmlns:mc="http://schemas.openxmlformats.org/markup-compatibility/2006" xmlns:a14="http://schemas.microsoft.com/office/drawing/2010/main">
      <mc:Choice Requires="a14">
        <xdr:sp macro="" textlink="">
          <xdr:nvSpPr>
            <xdr:cNvPr id="28" name="Textfeld 27">
              <a:extLst>
                <a:ext uri="{FF2B5EF4-FFF2-40B4-BE49-F238E27FC236}">
                  <a16:creationId xmlns:a16="http://schemas.microsoft.com/office/drawing/2014/main" id="{6F6FC023-C78A-44AF-9593-92405082F959}"/>
                </a:ext>
              </a:extLst>
            </xdr:cNvPr>
            <xdr:cNvSpPr txBox="1"/>
          </xdr:nvSpPr>
          <xdr:spPr>
            <a:xfrm>
              <a:off x="10276114" y="20786269"/>
              <a:ext cx="2122714" cy="931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panose="02040503050406030204" pitchFamily="18" charset="0"/>
                          </a:rPr>
                          <m:t>𝑣</m:t>
                        </m:r>
                      </m:e>
                      <m:sub>
                        <m:r>
                          <a:rPr lang="de-DE" sz="1600" b="0" i="1">
                            <a:latin typeface="Cambria Math" panose="02040503050406030204" pitchFamily="18" charset="0"/>
                          </a:rPr>
                          <m:t>𝐻</m:t>
                        </m:r>
                      </m:sub>
                    </m:sSub>
                    <m:r>
                      <a:rPr lang="de-DE" sz="1600" b="0" i="1">
                        <a:latin typeface="Cambria Math" panose="02040503050406030204" pitchFamily="18" charset="0"/>
                      </a:rPr>
                      <m:t>=</m:t>
                    </m:r>
                    <m:sSub>
                      <m:sSubPr>
                        <m:ctrlPr>
                          <a:rPr lang="de-DE" sz="1600" b="0" i="1">
                            <a:latin typeface="Cambria Math" panose="02040503050406030204" pitchFamily="18" charset="0"/>
                          </a:rPr>
                        </m:ctrlPr>
                      </m:sSubPr>
                      <m:e>
                        <m:r>
                          <a:rPr lang="de-DE" sz="1600" b="0" i="1">
                            <a:latin typeface="Cambria Math" panose="02040503050406030204" pitchFamily="18" charset="0"/>
                          </a:rPr>
                          <m:t>𝑣</m:t>
                        </m:r>
                      </m:e>
                      <m:sub>
                        <m:r>
                          <a:rPr lang="de-DE" sz="1600" b="0" i="1">
                            <a:latin typeface="Cambria Math" panose="02040503050406030204" pitchFamily="18" charset="0"/>
                          </a:rPr>
                          <m:t>𝑟𝑒𝑓</m:t>
                        </m:r>
                      </m:sub>
                    </m:sSub>
                    <m:r>
                      <a:rPr lang="de-DE" sz="1600" b="0" i="1">
                        <a:latin typeface="Cambria Math" panose="02040503050406030204" pitchFamily="18" charset="0"/>
                      </a:rPr>
                      <m:t> </m:t>
                    </m:r>
                    <m:r>
                      <a:rPr lang="de-DE" sz="1600" b="0" i="1">
                        <a:latin typeface="Cambria Math" panose="02040503050406030204" pitchFamily="18" charset="0"/>
                        <a:ea typeface="Cambria Math" panose="02040503050406030204" pitchFamily="18" charset="0"/>
                      </a:rPr>
                      <m:t>∙ </m:t>
                    </m:r>
                    <m:f>
                      <m:fPr>
                        <m:ctrlPr>
                          <a:rPr lang="de-DE" sz="1600" b="0" i="1">
                            <a:latin typeface="Cambria Math" panose="02040503050406030204" pitchFamily="18" charset="0"/>
                            <a:ea typeface="Cambria Math" panose="02040503050406030204" pitchFamily="18" charset="0"/>
                          </a:rPr>
                        </m:ctrlPr>
                      </m:fPr>
                      <m:num>
                        <m:func>
                          <m:funcPr>
                            <m:ctrlPr>
                              <a:rPr lang="de-DE" sz="1600" b="0" i="1">
                                <a:latin typeface="Cambria Math" panose="02040503050406030204" pitchFamily="18" charset="0"/>
                                <a:ea typeface="Cambria Math" panose="02040503050406030204" pitchFamily="18" charset="0"/>
                              </a:rPr>
                            </m:ctrlPr>
                          </m:funcPr>
                          <m:fName>
                            <m:r>
                              <m:rPr>
                                <m:sty m:val="p"/>
                              </m:rPr>
                              <a:rPr lang="de-DE" sz="1600" b="0" i="0">
                                <a:latin typeface="Cambria Math" panose="02040503050406030204" pitchFamily="18" charset="0"/>
                                <a:ea typeface="Cambria Math" panose="02040503050406030204" pitchFamily="18" charset="0"/>
                              </a:rPr>
                              <m:t>ln</m:t>
                            </m:r>
                          </m:fName>
                          <m:e>
                            <m:f>
                              <m:fPr>
                                <m:ctrlPr>
                                  <a:rPr lang="de-DE" sz="1600" b="0" i="1">
                                    <a:latin typeface="Cambria Math" panose="02040503050406030204" pitchFamily="18" charset="0"/>
                                    <a:ea typeface="Cambria Math" panose="02040503050406030204" pitchFamily="18" charset="0"/>
                                  </a:rPr>
                                </m:ctrlPr>
                              </m:fPr>
                              <m:num>
                                <m:r>
                                  <a:rPr lang="de-DE" sz="1600" b="0" i="1">
                                    <a:latin typeface="Cambria Math" panose="02040503050406030204" pitchFamily="18" charset="0"/>
                                    <a:ea typeface="Cambria Math" panose="02040503050406030204" pitchFamily="18" charset="0"/>
                                  </a:rPr>
                                  <m:t>𝐻</m:t>
                                </m:r>
                              </m:num>
                              <m:den>
                                <m:sSub>
                                  <m:sSubPr>
                                    <m:ctrlPr>
                                      <a:rPr lang="de-DE" sz="1600" b="0" i="1">
                                        <a:latin typeface="Cambria Math" panose="02040503050406030204" pitchFamily="18" charset="0"/>
                                        <a:ea typeface="Cambria Math" panose="02040503050406030204" pitchFamily="18" charset="0"/>
                                      </a:rPr>
                                    </m:ctrlPr>
                                  </m:sSubPr>
                                  <m:e>
                                    <m:r>
                                      <a:rPr lang="de-DE" sz="1600" b="0" i="1">
                                        <a:latin typeface="Cambria Math" panose="02040503050406030204" pitchFamily="18" charset="0"/>
                                        <a:ea typeface="Cambria Math" panose="02040503050406030204" pitchFamily="18" charset="0"/>
                                      </a:rPr>
                                      <m:t>𝑧</m:t>
                                    </m:r>
                                  </m:e>
                                  <m:sub>
                                    <m:r>
                                      <a:rPr lang="de-DE" sz="1600" b="0" i="1">
                                        <a:latin typeface="Cambria Math" panose="02040503050406030204" pitchFamily="18" charset="0"/>
                                        <a:ea typeface="Cambria Math" panose="02040503050406030204" pitchFamily="18" charset="0"/>
                                      </a:rPr>
                                      <m:t>0</m:t>
                                    </m:r>
                                  </m:sub>
                                </m:sSub>
                              </m:den>
                            </m:f>
                          </m:e>
                        </m:func>
                      </m:num>
                      <m:den>
                        <m:func>
                          <m:funcPr>
                            <m:ctrlPr>
                              <a:rPr lang="de-DE" sz="1600" b="0" i="1">
                                <a:solidFill>
                                  <a:schemeClr val="tx1"/>
                                </a:solidFill>
                                <a:effectLst/>
                                <a:latin typeface="Cambria Math" panose="02040503050406030204" pitchFamily="18" charset="0"/>
                                <a:ea typeface="+mn-ea"/>
                                <a:cs typeface="+mn-cs"/>
                              </a:rPr>
                            </m:ctrlPr>
                          </m:funcPr>
                          <m:fName>
                            <m:r>
                              <m:rPr>
                                <m:sty m:val="p"/>
                              </m:rPr>
                              <a:rPr lang="de-DE" sz="1600" b="0" i="0">
                                <a:solidFill>
                                  <a:schemeClr val="tx1"/>
                                </a:solidFill>
                                <a:effectLst/>
                                <a:latin typeface="Cambria Math" panose="02040503050406030204" pitchFamily="18" charset="0"/>
                                <a:ea typeface="+mn-ea"/>
                                <a:cs typeface="+mn-cs"/>
                              </a:rPr>
                              <m:t>ln</m:t>
                            </m:r>
                          </m:fName>
                          <m:e>
                            <m:f>
                              <m:fPr>
                                <m:ctrlPr>
                                  <a:rPr lang="de-DE" sz="1600" b="0" i="1">
                                    <a:solidFill>
                                      <a:schemeClr val="tx1"/>
                                    </a:solidFill>
                                    <a:effectLst/>
                                    <a:latin typeface="Cambria Math" panose="02040503050406030204" pitchFamily="18" charset="0"/>
                                    <a:ea typeface="+mn-ea"/>
                                    <a:cs typeface="+mn-cs"/>
                                  </a:rPr>
                                </m:ctrlPr>
                              </m:fPr>
                              <m:num>
                                <m:sSub>
                                  <m:sSubPr>
                                    <m:ctrlPr>
                                      <a:rPr lang="de-DE" sz="1600" b="0" i="1">
                                        <a:solidFill>
                                          <a:schemeClr val="tx1"/>
                                        </a:solidFill>
                                        <a:effectLst/>
                                        <a:latin typeface="Cambria Math" panose="02040503050406030204" pitchFamily="18" charset="0"/>
                                        <a:ea typeface="+mn-ea"/>
                                        <a:cs typeface="+mn-cs"/>
                                      </a:rPr>
                                    </m:ctrlPr>
                                  </m:sSubPr>
                                  <m:e>
                                    <m:r>
                                      <a:rPr lang="de-DE" sz="1600" b="0" i="1">
                                        <a:solidFill>
                                          <a:schemeClr val="tx1"/>
                                        </a:solidFill>
                                        <a:effectLst/>
                                        <a:latin typeface="Cambria Math" panose="02040503050406030204" pitchFamily="18" charset="0"/>
                                        <a:ea typeface="+mn-ea"/>
                                        <a:cs typeface="+mn-cs"/>
                                      </a:rPr>
                                      <m:t>𝐻</m:t>
                                    </m:r>
                                  </m:e>
                                  <m:sub>
                                    <m:r>
                                      <a:rPr lang="de-DE" sz="1600" b="0" i="1">
                                        <a:solidFill>
                                          <a:schemeClr val="tx1"/>
                                        </a:solidFill>
                                        <a:effectLst/>
                                        <a:latin typeface="Cambria Math" panose="02040503050406030204" pitchFamily="18" charset="0"/>
                                        <a:ea typeface="+mn-ea"/>
                                        <a:cs typeface="+mn-cs"/>
                                      </a:rPr>
                                      <m:t>𝑟𝑒𝑓</m:t>
                                    </m:r>
                                  </m:sub>
                                </m:sSub>
                              </m:num>
                              <m:den>
                                <m:sSub>
                                  <m:sSubPr>
                                    <m:ctrlPr>
                                      <a:rPr lang="de-DE" sz="1600" b="0" i="1">
                                        <a:solidFill>
                                          <a:schemeClr val="tx1"/>
                                        </a:solidFill>
                                        <a:effectLst/>
                                        <a:latin typeface="Cambria Math" panose="02040503050406030204" pitchFamily="18" charset="0"/>
                                        <a:ea typeface="+mn-ea"/>
                                        <a:cs typeface="+mn-cs"/>
                                      </a:rPr>
                                    </m:ctrlPr>
                                  </m:sSubPr>
                                  <m:e>
                                    <m:r>
                                      <a:rPr lang="de-DE" sz="1600" b="0" i="1">
                                        <a:solidFill>
                                          <a:schemeClr val="tx1"/>
                                        </a:solidFill>
                                        <a:effectLst/>
                                        <a:latin typeface="Cambria Math" panose="02040503050406030204" pitchFamily="18" charset="0"/>
                                        <a:ea typeface="+mn-ea"/>
                                        <a:cs typeface="+mn-cs"/>
                                      </a:rPr>
                                      <m:t>𝑧</m:t>
                                    </m:r>
                                  </m:e>
                                  <m:sub>
                                    <m:r>
                                      <a:rPr lang="de-DE" sz="1600" b="0" i="1">
                                        <a:solidFill>
                                          <a:schemeClr val="tx1"/>
                                        </a:solidFill>
                                        <a:effectLst/>
                                        <a:latin typeface="Cambria Math" panose="02040503050406030204" pitchFamily="18" charset="0"/>
                                        <a:ea typeface="+mn-ea"/>
                                        <a:cs typeface="+mn-cs"/>
                                      </a:rPr>
                                      <m:t>0</m:t>
                                    </m:r>
                                  </m:sub>
                                </m:sSub>
                              </m:den>
                            </m:f>
                          </m:e>
                        </m:func>
                      </m:den>
                    </m:f>
                  </m:oMath>
                </m:oMathPara>
              </a14:m>
              <a:endParaRPr lang="de-DE" sz="1600"/>
            </a:p>
          </xdr:txBody>
        </xdr:sp>
      </mc:Choice>
      <mc:Fallback xmlns="">
        <xdr:sp macro="" textlink="">
          <xdr:nvSpPr>
            <xdr:cNvPr id="28" name="Textfeld 27">
              <a:extLst>
                <a:ext uri="{FF2B5EF4-FFF2-40B4-BE49-F238E27FC236}">
                  <a16:creationId xmlns:a16="http://schemas.microsoft.com/office/drawing/2014/main" id="{6F6FC023-C78A-44AF-9593-92405082F959}"/>
                </a:ext>
              </a:extLst>
            </xdr:cNvPr>
            <xdr:cNvSpPr txBox="1"/>
          </xdr:nvSpPr>
          <xdr:spPr>
            <a:xfrm>
              <a:off x="10276114" y="20786269"/>
              <a:ext cx="2122714" cy="931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de-DE" sz="1600" b="0" i="0">
                  <a:latin typeface="Cambria Math" panose="02040503050406030204" pitchFamily="18" charset="0"/>
                </a:rPr>
                <a:t>𝑣_𝐻=𝑣_𝑟𝑒𝑓  </a:t>
              </a:r>
              <a:r>
                <a:rPr lang="de-DE" sz="1600" b="0" i="0">
                  <a:latin typeface="Cambria Math" panose="02040503050406030204" pitchFamily="18" charset="0"/>
                  <a:ea typeface="Cambria Math" panose="02040503050406030204" pitchFamily="18" charset="0"/>
                </a:rPr>
                <a:t>∙   ln⁡〖𝐻/𝑧_0 〗/</a:t>
              </a:r>
              <a:r>
                <a:rPr lang="de-DE" sz="1600" b="0" i="0">
                  <a:solidFill>
                    <a:schemeClr val="tx1"/>
                  </a:solidFill>
                  <a:effectLst/>
                  <a:latin typeface="+mn-lt"/>
                  <a:ea typeface="+mn-ea"/>
                  <a:cs typeface="+mn-cs"/>
                </a:rPr>
                <a:t>ln⁡〖</a:t>
              </a:r>
              <a:r>
                <a:rPr lang="de-DE" sz="1600" b="0" i="0">
                  <a:solidFill>
                    <a:schemeClr val="tx1"/>
                  </a:solidFill>
                  <a:effectLst/>
                  <a:latin typeface="Cambria Math" panose="02040503050406030204" pitchFamily="18" charset="0"/>
                  <a:ea typeface="+mn-ea"/>
                  <a:cs typeface="+mn-cs"/>
                </a:rPr>
                <a:t>𝐻_𝑟𝑒𝑓</a:t>
              </a:r>
              <a:r>
                <a:rPr lang="de-DE" sz="1600" b="0" i="0">
                  <a:solidFill>
                    <a:schemeClr val="tx1"/>
                  </a:solidFill>
                  <a:effectLst/>
                  <a:latin typeface="+mn-lt"/>
                  <a:ea typeface="+mn-ea"/>
                  <a:cs typeface="+mn-cs"/>
                </a:rPr>
                <a:t>/𝑧_0 〗</a:t>
              </a:r>
              <a:r>
                <a:rPr lang="de-DE" sz="1600" b="0" i="0">
                  <a:solidFill>
                    <a:schemeClr val="tx1"/>
                  </a:solidFill>
                  <a:effectLst/>
                  <a:latin typeface="Cambria Math" panose="02040503050406030204" pitchFamily="18" charset="0"/>
                  <a:ea typeface="Cambria Math" panose="02040503050406030204" pitchFamily="18" charset="0"/>
                  <a:cs typeface="+mn-cs"/>
                </a:rPr>
                <a:t> </a:t>
              </a:r>
              <a:endParaRPr lang="de-DE" sz="16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472439</xdr:colOff>
      <xdr:row>0</xdr:row>
      <xdr:rowOff>0</xdr:rowOff>
    </xdr:from>
    <xdr:to>
      <xdr:col>13</xdr:col>
      <xdr:colOff>464820</xdr:colOff>
      <xdr:row>15</xdr:row>
      <xdr:rowOff>90392</xdr:rowOff>
    </xdr:to>
    <xdr:pic>
      <xdr:nvPicPr>
        <xdr:cNvPr id="2" name="Grafik 1">
          <a:extLst>
            <a:ext uri="{FF2B5EF4-FFF2-40B4-BE49-F238E27FC236}">
              <a16:creationId xmlns:a16="http://schemas.microsoft.com/office/drawing/2014/main" id="{184FB559-611D-464A-8B3C-735786A90EBA}"/>
            </a:ext>
          </a:extLst>
        </xdr:cNvPr>
        <xdr:cNvPicPr>
          <a:picLocks noChangeAspect="1"/>
        </xdr:cNvPicPr>
      </xdr:nvPicPr>
      <xdr:blipFill rotWithShape="1">
        <a:blip xmlns:r="http://schemas.openxmlformats.org/officeDocument/2006/relationships" r:embed="rId1"/>
        <a:srcRect l="49042" t="65008" r="10596"/>
        <a:stretch/>
      </xdr:blipFill>
      <xdr:spPr>
        <a:xfrm>
          <a:off x="6019799" y="0"/>
          <a:ext cx="4747261" cy="2932652"/>
        </a:xfrm>
        <a:prstGeom prst="rect">
          <a:avLst/>
        </a:prstGeom>
      </xdr:spPr>
    </xdr:pic>
    <xdr:clientData/>
  </xdr:twoCellAnchor>
  <xdr:twoCellAnchor editAs="oneCell">
    <xdr:from>
      <xdr:col>8</xdr:col>
      <xdr:colOff>45720</xdr:colOff>
      <xdr:row>18</xdr:row>
      <xdr:rowOff>15240</xdr:rowOff>
    </xdr:from>
    <xdr:to>
      <xdr:col>13</xdr:col>
      <xdr:colOff>569034</xdr:colOff>
      <xdr:row>32</xdr:row>
      <xdr:rowOff>26349</xdr:rowOff>
    </xdr:to>
    <xdr:pic>
      <xdr:nvPicPr>
        <xdr:cNvPr id="3" name="Grafik 2">
          <a:extLst>
            <a:ext uri="{FF2B5EF4-FFF2-40B4-BE49-F238E27FC236}">
              <a16:creationId xmlns:a16="http://schemas.microsoft.com/office/drawing/2014/main" id="{A4F448AC-DA7A-4F4A-A147-CAF5D99EB39E}"/>
            </a:ext>
          </a:extLst>
        </xdr:cNvPr>
        <xdr:cNvPicPr>
          <a:picLocks noChangeAspect="1"/>
        </xdr:cNvPicPr>
      </xdr:nvPicPr>
      <xdr:blipFill>
        <a:blip xmlns:r="http://schemas.openxmlformats.org/officeDocument/2006/relationships" r:embed="rId2"/>
        <a:stretch>
          <a:fillRect/>
        </a:stretch>
      </xdr:blipFill>
      <xdr:spPr>
        <a:xfrm>
          <a:off x="6385560" y="3421380"/>
          <a:ext cx="4485714" cy="2571429"/>
        </a:xfrm>
        <a:prstGeom prst="rect">
          <a:avLst/>
        </a:prstGeom>
      </xdr:spPr>
    </xdr:pic>
    <xdr:clientData/>
  </xdr:twoCellAnchor>
  <xdr:twoCellAnchor editAs="oneCell">
    <xdr:from>
      <xdr:col>3</xdr:col>
      <xdr:colOff>350520</xdr:colOff>
      <xdr:row>15</xdr:row>
      <xdr:rowOff>99060</xdr:rowOff>
    </xdr:from>
    <xdr:to>
      <xdr:col>7</xdr:col>
      <xdr:colOff>755689</xdr:colOff>
      <xdr:row>28</xdr:row>
      <xdr:rowOff>182413</xdr:rowOff>
    </xdr:to>
    <xdr:pic>
      <xdr:nvPicPr>
        <xdr:cNvPr id="4" name="Grafik 3">
          <a:extLst>
            <a:ext uri="{FF2B5EF4-FFF2-40B4-BE49-F238E27FC236}">
              <a16:creationId xmlns:a16="http://schemas.microsoft.com/office/drawing/2014/main" id="{FF71B73B-B853-4C18-BDDB-6D9288347D3C}"/>
            </a:ext>
          </a:extLst>
        </xdr:cNvPr>
        <xdr:cNvPicPr>
          <a:picLocks noChangeAspect="1"/>
        </xdr:cNvPicPr>
      </xdr:nvPicPr>
      <xdr:blipFill>
        <a:blip xmlns:r="http://schemas.openxmlformats.org/officeDocument/2006/relationships" r:embed="rId3"/>
        <a:stretch>
          <a:fillRect/>
        </a:stretch>
      </xdr:blipFill>
      <xdr:spPr>
        <a:xfrm>
          <a:off x="2727960" y="2941320"/>
          <a:ext cx="3575089" cy="2476033"/>
        </a:xfrm>
        <a:prstGeom prst="rect">
          <a:avLst/>
        </a:prstGeom>
      </xdr:spPr>
    </xdr:pic>
    <xdr:clientData/>
  </xdr:twoCellAnchor>
  <xdr:twoCellAnchor editAs="oneCell">
    <xdr:from>
      <xdr:col>0</xdr:col>
      <xdr:colOff>0</xdr:colOff>
      <xdr:row>30</xdr:row>
      <xdr:rowOff>0</xdr:rowOff>
    </xdr:from>
    <xdr:to>
      <xdr:col>8</xdr:col>
      <xdr:colOff>403017</xdr:colOff>
      <xdr:row>76</xdr:row>
      <xdr:rowOff>54187</xdr:rowOff>
    </xdr:to>
    <xdr:pic>
      <xdr:nvPicPr>
        <xdr:cNvPr id="5" name="Grafik 4">
          <a:extLst>
            <a:ext uri="{FF2B5EF4-FFF2-40B4-BE49-F238E27FC236}">
              <a16:creationId xmlns:a16="http://schemas.microsoft.com/office/drawing/2014/main" id="{DBBFFC85-5CE9-4BF9-88B1-9EC0640ADC6C}"/>
            </a:ext>
          </a:extLst>
        </xdr:cNvPr>
        <xdr:cNvPicPr>
          <a:picLocks noChangeAspect="1"/>
        </xdr:cNvPicPr>
      </xdr:nvPicPr>
      <xdr:blipFill>
        <a:blip xmlns:r="http://schemas.openxmlformats.org/officeDocument/2006/relationships" r:embed="rId4"/>
        <a:stretch>
          <a:fillRect/>
        </a:stretch>
      </xdr:blipFill>
      <xdr:spPr>
        <a:xfrm>
          <a:off x="0" y="5600700"/>
          <a:ext cx="6742857" cy="8466667"/>
        </a:xfrm>
        <a:prstGeom prst="rect">
          <a:avLst/>
        </a:prstGeom>
      </xdr:spPr>
    </xdr:pic>
    <xdr:clientData/>
  </xdr:twoCellAnchor>
  <xdr:twoCellAnchor editAs="oneCell">
    <xdr:from>
      <xdr:col>9</xdr:col>
      <xdr:colOff>0</xdr:colOff>
      <xdr:row>34</xdr:row>
      <xdr:rowOff>0</xdr:rowOff>
    </xdr:from>
    <xdr:to>
      <xdr:col>16</xdr:col>
      <xdr:colOff>166926</xdr:colOff>
      <xdr:row>68</xdr:row>
      <xdr:rowOff>105889</xdr:rowOff>
    </xdr:to>
    <xdr:pic>
      <xdr:nvPicPr>
        <xdr:cNvPr id="6" name="Grafik 5">
          <a:extLst>
            <a:ext uri="{FF2B5EF4-FFF2-40B4-BE49-F238E27FC236}">
              <a16:creationId xmlns:a16="http://schemas.microsoft.com/office/drawing/2014/main" id="{43354994-0F91-4CB0-8C77-ED89D089FD67}"/>
            </a:ext>
          </a:extLst>
        </xdr:cNvPr>
        <xdr:cNvPicPr>
          <a:picLocks noChangeAspect="1"/>
        </xdr:cNvPicPr>
      </xdr:nvPicPr>
      <xdr:blipFill>
        <a:blip xmlns:r="http://schemas.openxmlformats.org/officeDocument/2006/relationships" r:embed="rId5"/>
        <a:stretch>
          <a:fillRect/>
        </a:stretch>
      </xdr:blipFill>
      <xdr:spPr>
        <a:xfrm>
          <a:off x="7132320" y="6332220"/>
          <a:ext cx="5714286" cy="6323809"/>
        </a:xfrm>
        <a:prstGeom prst="rect">
          <a:avLst/>
        </a:prstGeom>
      </xdr:spPr>
    </xdr:pic>
    <xdr:clientData/>
  </xdr:twoCellAnchor>
  <xdr:twoCellAnchor editAs="oneCell">
    <xdr:from>
      <xdr:col>9</xdr:col>
      <xdr:colOff>0</xdr:colOff>
      <xdr:row>70</xdr:row>
      <xdr:rowOff>0</xdr:rowOff>
    </xdr:from>
    <xdr:to>
      <xdr:col>16</xdr:col>
      <xdr:colOff>595497</xdr:colOff>
      <xdr:row>105</xdr:row>
      <xdr:rowOff>161105</xdr:rowOff>
    </xdr:to>
    <xdr:pic>
      <xdr:nvPicPr>
        <xdr:cNvPr id="7" name="Grafik 6">
          <a:extLst>
            <a:ext uri="{FF2B5EF4-FFF2-40B4-BE49-F238E27FC236}">
              <a16:creationId xmlns:a16="http://schemas.microsoft.com/office/drawing/2014/main" id="{7A2B4D7B-12EE-4CA4-A0B1-1C4A3D2C350F}"/>
            </a:ext>
          </a:extLst>
        </xdr:cNvPr>
        <xdr:cNvPicPr>
          <a:picLocks noChangeAspect="1"/>
        </xdr:cNvPicPr>
      </xdr:nvPicPr>
      <xdr:blipFill>
        <a:blip xmlns:r="http://schemas.openxmlformats.org/officeDocument/2006/relationships" r:embed="rId6"/>
        <a:stretch>
          <a:fillRect/>
        </a:stretch>
      </xdr:blipFill>
      <xdr:spPr>
        <a:xfrm>
          <a:off x="7132320" y="12915900"/>
          <a:ext cx="6142857" cy="6561905"/>
        </a:xfrm>
        <a:prstGeom prst="rect">
          <a:avLst/>
        </a:prstGeom>
      </xdr:spPr>
    </xdr:pic>
    <xdr:clientData/>
  </xdr:twoCellAnchor>
  <xdr:twoCellAnchor editAs="oneCell">
    <xdr:from>
      <xdr:col>9</xdr:col>
      <xdr:colOff>0</xdr:colOff>
      <xdr:row>108</xdr:row>
      <xdr:rowOff>0</xdr:rowOff>
    </xdr:from>
    <xdr:to>
      <xdr:col>15</xdr:col>
      <xdr:colOff>368929</xdr:colOff>
      <xdr:row>115</xdr:row>
      <xdr:rowOff>15078</xdr:rowOff>
    </xdr:to>
    <xdr:pic>
      <xdr:nvPicPr>
        <xdr:cNvPr id="8" name="Grafik 7">
          <a:extLst>
            <a:ext uri="{FF2B5EF4-FFF2-40B4-BE49-F238E27FC236}">
              <a16:creationId xmlns:a16="http://schemas.microsoft.com/office/drawing/2014/main" id="{1D82924A-F219-46AE-AE0E-F572AB247AB2}"/>
            </a:ext>
          </a:extLst>
        </xdr:cNvPr>
        <xdr:cNvPicPr>
          <a:picLocks noChangeAspect="1"/>
        </xdr:cNvPicPr>
      </xdr:nvPicPr>
      <xdr:blipFill>
        <a:blip xmlns:r="http://schemas.openxmlformats.org/officeDocument/2006/relationships" r:embed="rId7"/>
        <a:stretch>
          <a:fillRect/>
        </a:stretch>
      </xdr:blipFill>
      <xdr:spPr>
        <a:xfrm>
          <a:off x="7132320" y="19865340"/>
          <a:ext cx="5123809" cy="1295238"/>
        </a:xfrm>
        <a:prstGeom prst="rect">
          <a:avLst/>
        </a:prstGeom>
      </xdr:spPr>
    </xdr:pic>
    <xdr:clientData/>
  </xdr:twoCellAnchor>
  <xdr:twoCellAnchor editAs="oneCell">
    <xdr:from>
      <xdr:col>9</xdr:col>
      <xdr:colOff>0</xdr:colOff>
      <xdr:row>116</xdr:row>
      <xdr:rowOff>0</xdr:rowOff>
    </xdr:from>
    <xdr:to>
      <xdr:col>15</xdr:col>
      <xdr:colOff>426072</xdr:colOff>
      <xdr:row>120</xdr:row>
      <xdr:rowOff>68480</xdr:rowOff>
    </xdr:to>
    <xdr:pic>
      <xdr:nvPicPr>
        <xdr:cNvPr id="9" name="Grafik 8">
          <a:extLst>
            <a:ext uri="{FF2B5EF4-FFF2-40B4-BE49-F238E27FC236}">
              <a16:creationId xmlns:a16="http://schemas.microsoft.com/office/drawing/2014/main" id="{3115A22E-A0E5-4E72-A350-8E350833B08A}"/>
            </a:ext>
          </a:extLst>
        </xdr:cNvPr>
        <xdr:cNvPicPr>
          <a:picLocks noChangeAspect="1"/>
        </xdr:cNvPicPr>
      </xdr:nvPicPr>
      <xdr:blipFill>
        <a:blip xmlns:r="http://schemas.openxmlformats.org/officeDocument/2006/relationships" r:embed="rId8"/>
        <a:stretch>
          <a:fillRect/>
        </a:stretch>
      </xdr:blipFill>
      <xdr:spPr>
        <a:xfrm>
          <a:off x="7132320" y="21328380"/>
          <a:ext cx="5180952" cy="800000"/>
        </a:xfrm>
        <a:prstGeom prst="rect">
          <a:avLst/>
        </a:prstGeom>
      </xdr:spPr>
    </xdr:pic>
    <xdr:clientData/>
  </xdr:twoCellAnchor>
  <xdr:twoCellAnchor editAs="oneCell">
    <xdr:from>
      <xdr:col>0</xdr:col>
      <xdr:colOff>541020</xdr:colOff>
      <xdr:row>81</xdr:row>
      <xdr:rowOff>160020</xdr:rowOff>
    </xdr:from>
    <xdr:to>
      <xdr:col>8</xdr:col>
      <xdr:colOff>582385</xdr:colOff>
      <xdr:row>110</xdr:row>
      <xdr:rowOff>179345</xdr:rowOff>
    </xdr:to>
    <xdr:pic>
      <xdr:nvPicPr>
        <xdr:cNvPr id="10" name="Grafik 9">
          <a:extLst>
            <a:ext uri="{FF2B5EF4-FFF2-40B4-BE49-F238E27FC236}">
              <a16:creationId xmlns:a16="http://schemas.microsoft.com/office/drawing/2014/main" id="{42B36E44-B24D-47D8-A3A3-E1FF8C419F19}"/>
            </a:ext>
          </a:extLst>
        </xdr:cNvPr>
        <xdr:cNvPicPr>
          <a:picLocks noChangeAspect="1"/>
        </xdr:cNvPicPr>
      </xdr:nvPicPr>
      <xdr:blipFill>
        <a:blip xmlns:r="http://schemas.openxmlformats.org/officeDocument/2006/relationships" r:embed="rId9"/>
        <a:stretch>
          <a:fillRect/>
        </a:stretch>
      </xdr:blipFill>
      <xdr:spPr>
        <a:xfrm>
          <a:off x="541020" y="15087600"/>
          <a:ext cx="6381205" cy="5322845"/>
        </a:xfrm>
        <a:prstGeom prst="rect">
          <a:avLst/>
        </a:prstGeom>
        <a:ln w="57150">
          <a:solidFill>
            <a:schemeClr val="accent5">
              <a:lumMod val="40000"/>
              <a:lumOff val="60000"/>
            </a:schemeClr>
          </a:solidFill>
        </a:ln>
      </xdr:spPr>
    </xdr:pic>
    <xdr:clientData/>
  </xdr:twoCellAnchor>
  <xdr:twoCellAnchor editAs="oneCell">
    <xdr:from>
      <xdr:col>15</xdr:col>
      <xdr:colOff>0</xdr:colOff>
      <xdr:row>7</xdr:row>
      <xdr:rowOff>0</xdr:rowOff>
    </xdr:from>
    <xdr:to>
      <xdr:col>20</xdr:col>
      <xdr:colOff>595049</xdr:colOff>
      <xdr:row>30</xdr:row>
      <xdr:rowOff>96428</xdr:rowOff>
    </xdr:to>
    <xdr:pic>
      <xdr:nvPicPr>
        <xdr:cNvPr id="11" name="Grafik 10">
          <a:extLst>
            <a:ext uri="{FF2B5EF4-FFF2-40B4-BE49-F238E27FC236}">
              <a16:creationId xmlns:a16="http://schemas.microsoft.com/office/drawing/2014/main" id="{456E597A-785C-41BB-82BA-926CDEBD4DF6}"/>
            </a:ext>
          </a:extLst>
        </xdr:cNvPr>
        <xdr:cNvPicPr>
          <a:picLocks noChangeAspect="1"/>
        </xdr:cNvPicPr>
      </xdr:nvPicPr>
      <xdr:blipFill>
        <a:blip xmlns:r="http://schemas.openxmlformats.org/officeDocument/2006/relationships" r:embed="rId10"/>
        <a:stretch>
          <a:fillRect/>
        </a:stretch>
      </xdr:blipFill>
      <xdr:spPr>
        <a:xfrm>
          <a:off x="11887200" y="1341120"/>
          <a:ext cx="4557449" cy="4356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693420</xdr:colOff>
      <xdr:row>3</xdr:row>
      <xdr:rowOff>91440</xdr:rowOff>
    </xdr:from>
    <xdr:to>
      <xdr:col>12</xdr:col>
      <xdr:colOff>731372</xdr:colOff>
      <xdr:row>18</xdr:row>
      <xdr:rowOff>68580</xdr:rowOff>
    </xdr:to>
    <xdr:pic>
      <xdr:nvPicPr>
        <xdr:cNvPr id="2" name="Grafik 1">
          <a:extLst>
            <a:ext uri="{FF2B5EF4-FFF2-40B4-BE49-F238E27FC236}">
              <a16:creationId xmlns:a16="http://schemas.microsoft.com/office/drawing/2014/main" id="{87F51425-B05C-4314-84AE-827C98D9442A}"/>
            </a:ext>
          </a:extLst>
        </xdr:cNvPr>
        <xdr:cNvPicPr>
          <a:picLocks noChangeAspect="1"/>
        </xdr:cNvPicPr>
      </xdr:nvPicPr>
      <xdr:blipFill>
        <a:blip xmlns:r="http://schemas.openxmlformats.org/officeDocument/2006/relationships" r:embed="rId1"/>
        <a:stretch>
          <a:fillRect/>
        </a:stretch>
      </xdr:blipFill>
      <xdr:spPr>
        <a:xfrm>
          <a:off x="6240780" y="640080"/>
          <a:ext cx="4000352" cy="2720340"/>
        </a:xfrm>
        <a:prstGeom prst="rect">
          <a:avLst/>
        </a:prstGeom>
      </xdr:spPr>
    </xdr:pic>
    <xdr:clientData/>
  </xdr:twoCellAnchor>
  <xdr:twoCellAnchor editAs="oneCell">
    <xdr:from>
      <xdr:col>13</xdr:col>
      <xdr:colOff>259080</xdr:colOff>
      <xdr:row>3</xdr:row>
      <xdr:rowOff>106680</xdr:rowOff>
    </xdr:from>
    <xdr:to>
      <xdr:col>29</xdr:col>
      <xdr:colOff>188924</xdr:colOff>
      <xdr:row>43</xdr:row>
      <xdr:rowOff>48623</xdr:rowOff>
    </xdr:to>
    <xdr:pic>
      <xdr:nvPicPr>
        <xdr:cNvPr id="3" name="Grafik 2">
          <a:extLst>
            <a:ext uri="{FF2B5EF4-FFF2-40B4-BE49-F238E27FC236}">
              <a16:creationId xmlns:a16="http://schemas.microsoft.com/office/drawing/2014/main" id="{73F6C845-9FC7-41E1-BEFF-031AFCFF3B97}"/>
            </a:ext>
          </a:extLst>
        </xdr:cNvPr>
        <xdr:cNvPicPr>
          <a:picLocks noChangeAspect="1"/>
        </xdr:cNvPicPr>
      </xdr:nvPicPr>
      <xdr:blipFill>
        <a:blip xmlns:r="http://schemas.openxmlformats.org/officeDocument/2006/relationships" r:embed="rId2"/>
        <a:stretch>
          <a:fillRect/>
        </a:stretch>
      </xdr:blipFill>
      <xdr:spPr>
        <a:xfrm>
          <a:off x="10561320" y="655320"/>
          <a:ext cx="12609524" cy="7257143"/>
        </a:xfrm>
        <a:prstGeom prst="rect">
          <a:avLst/>
        </a:prstGeom>
      </xdr:spPr>
    </xdr:pic>
    <xdr:clientData/>
  </xdr:twoCellAnchor>
  <xdr:twoCellAnchor editAs="oneCell">
    <xdr:from>
      <xdr:col>1</xdr:col>
      <xdr:colOff>114300</xdr:colOff>
      <xdr:row>32</xdr:row>
      <xdr:rowOff>160020</xdr:rowOff>
    </xdr:from>
    <xdr:to>
      <xdr:col>12</xdr:col>
      <xdr:colOff>644639</xdr:colOff>
      <xdr:row>62</xdr:row>
      <xdr:rowOff>168858</xdr:rowOff>
    </xdr:to>
    <xdr:pic>
      <xdr:nvPicPr>
        <xdr:cNvPr id="4" name="Grafik 3">
          <a:extLst>
            <a:ext uri="{FF2B5EF4-FFF2-40B4-BE49-F238E27FC236}">
              <a16:creationId xmlns:a16="http://schemas.microsoft.com/office/drawing/2014/main" id="{1EE50648-6D86-4829-B61F-4E614709ED6D}"/>
            </a:ext>
          </a:extLst>
        </xdr:cNvPr>
        <xdr:cNvPicPr>
          <a:picLocks noChangeAspect="1"/>
        </xdr:cNvPicPr>
      </xdr:nvPicPr>
      <xdr:blipFill>
        <a:blip xmlns:r="http://schemas.openxmlformats.org/officeDocument/2006/relationships" r:embed="rId3"/>
        <a:stretch>
          <a:fillRect/>
        </a:stretch>
      </xdr:blipFill>
      <xdr:spPr>
        <a:xfrm>
          <a:off x="906780" y="6012180"/>
          <a:ext cx="9247619" cy="5495238"/>
        </a:xfrm>
        <a:prstGeom prst="rect">
          <a:avLst/>
        </a:prstGeom>
      </xdr:spPr>
    </xdr:pic>
    <xdr:clientData/>
  </xdr:twoCellAnchor>
  <xdr:twoCellAnchor editAs="oneCell">
    <xdr:from>
      <xdr:col>0</xdr:col>
      <xdr:colOff>0</xdr:colOff>
      <xdr:row>69</xdr:row>
      <xdr:rowOff>0</xdr:rowOff>
    </xdr:from>
    <xdr:to>
      <xdr:col>9</xdr:col>
      <xdr:colOff>29585</xdr:colOff>
      <xdr:row>105</xdr:row>
      <xdr:rowOff>159177</xdr:rowOff>
    </xdr:to>
    <xdr:pic>
      <xdr:nvPicPr>
        <xdr:cNvPr id="5" name="Grafik 4">
          <a:extLst>
            <a:ext uri="{FF2B5EF4-FFF2-40B4-BE49-F238E27FC236}">
              <a16:creationId xmlns:a16="http://schemas.microsoft.com/office/drawing/2014/main" id="{368D00B6-76CC-40E0-B5CA-917714B82543}"/>
            </a:ext>
          </a:extLst>
        </xdr:cNvPr>
        <xdr:cNvPicPr>
          <a:picLocks noChangeAspect="1"/>
        </xdr:cNvPicPr>
      </xdr:nvPicPr>
      <xdr:blipFill>
        <a:blip xmlns:r="http://schemas.openxmlformats.org/officeDocument/2006/relationships" r:embed="rId4"/>
        <a:stretch>
          <a:fillRect/>
        </a:stretch>
      </xdr:blipFill>
      <xdr:spPr>
        <a:xfrm>
          <a:off x="0" y="12435840"/>
          <a:ext cx="7161905" cy="6742857"/>
        </a:xfrm>
        <a:prstGeom prst="rect">
          <a:avLst/>
        </a:prstGeom>
      </xdr:spPr>
    </xdr:pic>
    <xdr:clientData/>
  </xdr:twoCellAnchor>
  <xdr:twoCellAnchor editAs="oneCell">
    <xdr:from>
      <xdr:col>13</xdr:col>
      <xdr:colOff>266700</xdr:colOff>
      <xdr:row>48</xdr:row>
      <xdr:rowOff>83820</xdr:rowOff>
    </xdr:from>
    <xdr:to>
      <xdr:col>24</xdr:col>
      <xdr:colOff>197039</xdr:colOff>
      <xdr:row>53</xdr:row>
      <xdr:rowOff>64658</xdr:rowOff>
    </xdr:to>
    <xdr:pic>
      <xdr:nvPicPr>
        <xdr:cNvPr id="6" name="Grafik 5">
          <a:extLst>
            <a:ext uri="{FF2B5EF4-FFF2-40B4-BE49-F238E27FC236}">
              <a16:creationId xmlns:a16="http://schemas.microsoft.com/office/drawing/2014/main" id="{C48B31E5-5C3F-4E22-8204-E2F82B62B63D}"/>
            </a:ext>
          </a:extLst>
        </xdr:cNvPr>
        <xdr:cNvPicPr>
          <a:picLocks noChangeAspect="1"/>
        </xdr:cNvPicPr>
      </xdr:nvPicPr>
      <xdr:blipFill>
        <a:blip xmlns:r="http://schemas.openxmlformats.org/officeDocument/2006/relationships" r:embed="rId5"/>
        <a:stretch>
          <a:fillRect/>
        </a:stretch>
      </xdr:blipFill>
      <xdr:spPr>
        <a:xfrm>
          <a:off x="10568940" y="8862060"/>
          <a:ext cx="8647619" cy="895238"/>
        </a:xfrm>
        <a:prstGeom prst="rect">
          <a:avLst/>
        </a:prstGeom>
      </xdr:spPr>
    </xdr:pic>
    <xdr:clientData/>
  </xdr:twoCellAnchor>
  <xdr:twoCellAnchor editAs="oneCell">
    <xdr:from>
      <xdr:col>13</xdr:col>
      <xdr:colOff>0</xdr:colOff>
      <xdr:row>60</xdr:row>
      <xdr:rowOff>0</xdr:rowOff>
    </xdr:from>
    <xdr:to>
      <xdr:col>25</xdr:col>
      <xdr:colOff>537859</xdr:colOff>
      <xdr:row>112</xdr:row>
      <xdr:rowOff>90240</xdr:rowOff>
    </xdr:to>
    <xdr:pic>
      <xdr:nvPicPr>
        <xdr:cNvPr id="7" name="Grafik 6">
          <a:extLst>
            <a:ext uri="{FF2B5EF4-FFF2-40B4-BE49-F238E27FC236}">
              <a16:creationId xmlns:a16="http://schemas.microsoft.com/office/drawing/2014/main" id="{9176AD7F-246C-47ED-BB24-5EE84704951D}"/>
            </a:ext>
          </a:extLst>
        </xdr:cNvPr>
        <xdr:cNvPicPr>
          <a:picLocks noChangeAspect="1"/>
        </xdr:cNvPicPr>
      </xdr:nvPicPr>
      <xdr:blipFill>
        <a:blip xmlns:r="http://schemas.openxmlformats.org/officeDocument/2006/relationships" r:embed="rId6"/>
        <a:stretch>
          <a:fillRect/>
        </a:stretch>
      </xdr:blipFill>
      <xdr:spPr>
        <a:xfrm>
          <a:off x="10302240" y="10972800"/>
          <a:ext cx="10047619" cy="9600000"/>
        </a:xfrm>
        <a:prstGeom prst="rect">
          <a:avLst/>
        </a:prstGeom>
      </xdr:spPr>
    </xdr:pic>
    <xdr:clientData/>
  </xdr:twoCellAnchor>
  <xdr:twoCellAnchor editAs="oneCell">
    <xdr:from>
      <xdr:col>0</xdr:col>
      <xdr:colOff>7620</xdr:colOff>
      <xdr:row>1</xdr:row>
      <xdr:rowOff>68580</xdr:rowOff>
    </xdr:from>
    <xdr:to>
      <xdr:col>3</xdr:col>
      <xdr:colOff>640080</xdr:colOff>
      <xdr:row>7</xdr:row>
      <xdr:rowOff>102681</xdr:rowOff>
    </xdr:to>
    <xdr:pic>
      <xdr:nvPicPr>
        <xdr:cNvPr id="8" name="Grafik 7">
          <a:extLst>
            <a:ext uri="{FF2B5EF4-FFF2-40B4-BE49-F238E27FC236}">
              <a16:creationId xmlns:a16="http://schemas.microsoft.com/office/drawing/2014/main" id="{9DF7AAC1-AA1F-4453-8ABB-82548DCFDB06}"/>
            </a:ext>
          </a:extLst>
        </xdr:cNvPr>
        <xdr:cNvPicPr>
          <a:picLocks noChangeAspect="1"/>
        </xdr:cNvPicPr>
      </xdr:nvPicPr>
      <xdr:blipFill>
        <a:blip xmlns:r="http://schemas.openxmlformats.org/officeDocument/2006/relationships" r:embed="rId7"/>
        <a:stretch>
          <a:fillRect/>
        </a:stretch>
      </xdr:blipFill>
      <xdr:spPr>
        <a:xfrm>
          <a:off x="7620" y="251460"/>
          <a:ext cx="3009900" cy="1131381"/>
        </a:xfrm>
        <a:prstGeom prst="rect">
          <a:avLst/>
        </a:prstGeom>
      </xdr:spPr>
    </xdr:pic>
    <xdr:clientData/>
  </xdr:twoCellAnchor>
  <xdr:twoCellAnchor editAs="oneCell">
    <xdr:from>
      <xdr:col>0</xdr:col>
      <xdr:colOff>0</xdr:colOff>
      <xdr:row>107</xdr:row>
      <xdr:rowOff>175260</xdr:rowOff>
    </xdr:from>
    <xdr:to>
      <xdr:col>3</xdr:col>
      <xdr:colOff>611109</xdr:colOff>
      <xdr:row>128</xdr:row>
      <xdr:rowOff>48611</xdr:rowOff>
    </xdr:to>
    <xdr:pic>
      <xdr:nvPicPr>
        <xdr:cNvPr id="9" name="Grafik 8">
          <a:extLst>
            <a:ext uri="{FF2B5EF4-FFF2-40B4-BE49-F238E27FC236}">
              <a16:creationId xmlns:a16="http://schemas.microsoft.com/office/drawing/2014/main" id="{2E3DB857-CC15-4E61-BC68-0DD7CFC900A0}"/>
            </a:ext>
          </a:extLst>
        </xdr:cNvPr>
        <xdr:cNvPicPr>
          <a:picLocks noChangeAspect="1"/>
        </xdr:cNvPicPr>
      </xdr:nvPicPr>
      <xdr:blipFill>
        <a:blip xmlns:r="http://schemas.openxmlformats.org/officeDocument/2006/relationships" r:embed="rId8"/>
        <a:stretch>
          <a:fillRect/>
        </a:stretch>
      </xdr:blipFill>
      <xdr:spPr>
        <a:xfrm>
          <a:off x="0" y="19743420"/>
          <a:ext cx="2988549" cy="37138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495300</xdr:colOff>
      <xdr:row>33</xdr:row>
      <xdr:rowOff>358140</xdr:rowOff>
    </xdr:from>
    <xdr:to>
      <xdr:col>13</xdr:col>
      <xdr:colOff>780</xdr:colOff>
      <xdr:row>37</xdr:row>
      <xdr:rowOff>125332</xdr:rowOff>
    </xdr:to>
    <xdr:pic>
      <xdr:nvPicPr>
        <xdr:cNvPr id="3" name="Grafik 2">
          <a:extLst>
            <a:ext uri="{FF2B5EF4-FFF2-40B4-BE49-F238E27FC236}">
              <a16:creationId xmlns:a16="http://schemas.microsoft.com/office/drawing/2014/main" id="{BB4C4C7C-9777-4DB1-8D76-4EA1143B7F8B}"/>
            </a:ext>
          </a:extLst>
        </xdr:cNvPr>
        <xdr:cNvPicPr>
          <a:picLocks noChangeAspect="1"/>
        </xdr:cNvPicPr>
      </xdr:nvPicPr>
      <xdr:blipFill>
        <a:blip xmlns:r="http://schemas.openxmlformats.org/officeDocument/2006/relationships" r:embed="rId1"/>
        <a:stretch>
          <a:fillRect/>
        </a:stretch>
      </xdr:blipFill>
      <xdr:spPr>
        <a:xfrm>
          <a:off x="4701540" y="6408420"/>
          <a:ext cx="9335280" cy="3059032"/>
        </a:xfrm>
        <a:prstGeom prst="rect">
          <a:avLst/>
        </a:prstGeom>
      </xdr:spPr>
    </xdr:pic>
    <xdr:clientData/>
  </xdr:twoCellAnchor>
  <xdr:twoCellAnchor>
    <xdr:from>
      <xdr:col>14</xdr:col>
      <xdr:colOff>38101</xdr:colOff>
      <xdr:row>90</xdr:row>
      <xdr:rowOff>121920</xdr:rowOff>
    </xdr:from>
    <xdr:to>
      <xdr:col>21</xdr:col>
      <xdr:colOff>655320</xdr:colOff>
      <xdr:row>105</xdr:row>
      <xdr:rowOff>60960</xdr:rowOff>
    </xdr:to>
    <xdr:graphicFrame macro="">
      <xdr:nvGraphicFramePr>
        <xdr:cNvPr id="2" name="Diagramm 4">
          <a:extLst>
            <a:ext uri="{FF2B5EF4-FFF2-40B4-BE49-F238E27FC236}">
              <a16:creationId xmlns:a16="http://schemas.microsoft.com/office/drawing/2014/main" id="{69EAED8E-80FC-447E-9FCC-D1852912A7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17</xdr:col>
      <xdr:colOff>667185</xdr:colOff>
      <xdr:row>57</xdr:row>
      <xdr:rowOff>151352</xdr:rowOff>
    </xdr:to>
    <xdr:pic>
      <xdr:nvPicPr>
        <xdr:cNvPr id="2" name="Grafik 1">
          <a:extLst>
            <a:ext uri="{FF2B5EF4-FFF2-40B4-BE49-F238E27FC236}">
              <a16:creationId xmlns:a16="http://schemas.microsoft.com/office/drawing/2014/main" id="{D1392280-966D-4DDB-BAEF-C934DD25E16C}"/>
            </a:ext>
          </a:extLst>
        </xdr:cNvPr>
        <xdr:cNvPicPr>
          <a:picLocks noChangeAspect="1"/>
        </xdr:cNvPicPr>
      </xdr:nvPicPr>
      <xdr:blipFill>
        <a:blip xmlns:r="http://schemas.openxmlformats.org/officeDocument/2006/relationships" r:embed="rId1"/>
        <a:stretch>
          <a:fillRect/>
        </a:stretch>
      </xdr:blipFill>
      <xdr:spPr>
        <a:xfrm>
          <a:off x="2377440" y="2194560"/>
          <a:ext cx="11761905" cy="838095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destatis.de/DE/Themen/Gesellschaft-Umwelt/Umwelt/Materialfluesse-Energiefluesse/Tabellen/stromverbrauch-haushalte.html;jsessionid=BB02661E5640E22CA45DEDFCD55530F1.internet732?view=main%5bPrint%5d" TargetMode="External"/><Relationship Id="rId1" Type="http://schemas.openxmlformats.org/officeDocument/2006/relationships/hyperlink" Target="https://de.statista.com/statistik/daten/studie/197196/umfrage/elektrizitaetspreise-ausgewaehlter-europaeischer-laender/"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e-genius.at/fileadmin/user_upload/windkraft/07_wie_wird_die_leistung_einer_windkraftanlage_berechnet.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ogle.de/maps/place/St.+Wendel/@49.4983011,7.0104763,12.5z/data=!4m5!3m4!1s0x479594575eeef435:0x51ce68dd092c7658!8m2!3d49.5141602!4d7.1028894" TargetMode="External"/><Relationship Id="rId2" Type="http://schemas.openxmlformats.org/officeDocument/2006/relationships/hyperlink" Target="https://www.dwd.de/DE/service/lexikon/Functions/glossar.html?lv2=100310&amp;lv3=100390" TargetMode="External"/><Relationship Id="rId1" Type="http://schemas.openxmlformats.org/officeDocument/2006/relationships/hyperlink" Target="https://www.dwd.de/DE/leistungen/windkarten/deutschland_und_bundeslaender.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dwd.de/DE/service/lexikon/Functions/glossar.html?lv2=100310&amp;lv3=100390" TargetMode="External"/><Relationship Id="rId1" Type="http://schemas.openxmlformats.org/officeDocument/2006/relationships/hyperlink" Target="https://www.verbraucherzentrale.de/wissen/energie/erneuerbare-energien/kleine-windenergieanlagen-stromerzeugung-in-eigener-hand-10857"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wind-energie.de/glossar-liste/glossar/nennleistung/" TargetMode="External"/><Relationship Id="rId13" Type="http://schemas.openxmlformats.org/officeDocument/2006/relationships/hyperlink" Target="https://wind-data.ch/tools/weibull.php" TargetMode="External"/><Relationship Id="rId18" Type="http://schemas.openxmlformats.org/officeDocument/2006/relationships/hyperlink" Target="http://www.btrdb.de/index.html" TargetMode="External"/><Relationship Id="rId26" Type="http://schemas.openxmlformats.org/officeDocument/2006/relationships/drawing" Target="../drawings/drawing5.xml"/><Relationship Id="rId3" Type="http://schemas.openxmlformats.org/officeDocument/2006/relationships/hyperlink" Target="https://www.klein-windkraftanlagen.com/basisinfo/wirtschaftlichkeit/beurteilung-der-wirtschaftlichkeit-einer-investition-in-klein-windkraft/" TargetMode="External"/><Relationship Id="rId21" Type="http://schemas.openxmlformats.org/officeDocument/2006/relationships/hyperlink" Target="https://wirtschaftslexikon.gabler.de/definition/weibull-verteilung-50977/version-274184" TargetMode="External"/><Relationship Id="rId7" Type="http://schemas.openxmlformats.org/officeDocument/2006/relationships/hyperlink" Target="https://de.statista.com/statistik/daten/studie/234370/umfrage/entwicklung-der-haushaltsstrompreise-in-deutschland/" TargetMode="External"/><Relationship Id="rId12" Type="http://schemas.openxmlformats.org/officeDocument/2006/relationships/hyperlink" Target="https://wind-data.ch/tools/luftdichte.php" TargetMode="External"/><Relationship Id="rId17" Type="http://schemas.openxmlformats.org/officeDocument/2006/relationships/hyperlink" Target="https://wind-data.ch/tools/profile.php" TargetMode="External"/><Relationship Id="rId25" Type="http://schemas.openxmlformats.org/officeDocument/2006/relationships/printerSettings" Target="../printerSettings/printerSettings6.bin"/><Relationship Id="rId2" Type="http://schemas.openxmlformats.org/officeDocument/2006/relationships/hyperlink" Target="https://www.verbraucherzentrale.de/wissen/energie/erneuerbare-energien/kleine-windenergieanlagen-stromerzeugung-in-eigener-hand-10857" TargetMode="External"/><Relationship Id="rId16" Type="http://schemas.openxmlformats.org/officeDocument/2006/relationships/hyperlink" Target="https://www.photovoltaik.org/wissen/stromgestehungskosten" TargetMode="External"/><Relationship Id="rId20" Type="http://schemas.openxmlformats.org/officeDocument/2006/relationships/hyperlink" Target="http://www.renewable-energy-concepts.com/german/windenergie/wind-basiswissen/weibull-verteilung.html" TargetMode="External"/><Relationship Id="rId1" Type="http://schemas.openxmlformats.org/officeDocument/2006/relationships/hyperlink" Target="https://de.statista.com/statistik/daten/studie/197196/umfrage/elektrizitaetspreise-ausgewaehlter-europaeischer-laender/" TargetMode="External"/><Relationship Id="rId6" Type="http://schemas.openxmlformats.org/officeDocument/2006/relationships/hyperlink" Target="https://www.destatis.de/DE/Themen/Gesellschaft-Umwelt/Umwelt/Materialfluesse-Energiefluesse/Tabellen/stromverbrauch-haushalte.html;jsessionid=BB02661E5640E22CA45DEDFCD55530F1.internet732?view=main%5bPrint%5d" TargetMode="External"/><Relationship Id="rId11" Type="http://schemas.openxmlformats.org/officeDocument/2006/relationships/hyperlink" Target="https://www.dwd.de/DE/service/lexikon/Functions/glossar.html?lv2=101518&amp;lv3=607748" TargetMode="External"/><Relationship Id="rId24" Type="http://schemas.openxmlformats.org/officeDocument/2006/relationships/hyperlink" Target="http://www.solarzentrum-mv.de/preview/lernplattform/534347979a0051203/534347979a118ea02/53434797ab0a6fd0d/53434797ab0a6fd0f/Grundkurs%20Windenergie.PDF" TargetMode="External"/><Relationship Id="rId5" Type="http://schemas.openxmlformats.org/officeDocument/2006/relationships/hyperlink" Target="https://www.verbraucherzentrale.de/wissen/energie/erneuerbare-energien/kleine-windenergieanlagen-stromerzeugung-in-eigener-hand-10857" TargetMode="External"/><Relationship Id="rId15" Type="http://schemas.openxmlformats.org/officeDocument/2006/relationships/hyperlink" Target="https://wind-data.ch/tools/weibull.php" TargetMode="External"/><Relationship Id="rId23" Type="http://schemas.openxmlformats.org/officeDocument/2006/relationships/hyperlink" Target="https://www.verbraucherzentrale.de/wissen/energie/erneuerbare-energien/kleine-windenergieanlagen-stromerzeugung-in-eigener-hand-10857" TargetMode="External"/><Relationship Id="rId10" Type="http://schemas.openxmlformats.org/officeDocument/2006/relationships/hyperlink" Target="https://www.carmen-ev.de/sonne-wind-co/windenergie-neu/kleinwindkraft/1651-wirtschaftlichkeit" TargetMode="External"/><Relationship Id="rId19" Type="http://schemas.openxmlformats.org/officeDocument/2006/relationships/hyperlink" Target="http://files.sma.de/dl/11053/WB3600_5000TL-DDE120632W.pdf" TargetMode="External"/><Relationship Id="rId4" Type="http://schemas.openxmlformats.org/officeDocument/2006/relationships/hyperlink" Target="https://www.verbraucherzentrale.de/wissen/energie/erneuerbare-energien/kleine-windenergieanlagen-stromerzeugung-in-eigener-hand-10857" TargetMode="External"/><Relationship Id="rId9" Type="http://schemas.openxmlformats.org/officeDocument/2006/relationships/hyperlink" Target="https://wind-data.ch/tools/profile.php" TargetMode="External"/><Relationship Id="rId14" Type="http://schemas.openxmlformats.org/officeDocument/2006/relationships/hyperlink" Target="https://wind-data.ch/tools/weibull.php" TargetMode="External"/><Relationship Id="rId22" Type="http://schemas.openxmlformats.org/officeDocument/2006/relationships/hyperlink" Target="https://www.wind-energie.de/glossar-liste/glossar/volllaststunden/"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klein-windkraftanlagen.com/technik/stromspeicher/" TargetMode="External"/><Relationship Id="rId2" Type="http://schemas.openxmlformats.org/officeDocument/2006/relationships/hyperlink" Target="https://www.klein-windkraftanlagen.com/basisinfo/" TargetMode="External"/><Relationship Id="rId1" Type="http://schemas.openxmlformats.org/officeDocument/2006/relationships/hyperlink" Target="https://www.klein-windkraftanlagen.com/allgemein/preise-fuer-kleinwindkraftanlagen-fehlinvestitionen-vermeiden/"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642A6-6210-4AD7-9571-441194276666}">
  <dimension ref="A1:N88"/>
  <sheetViews>
    <sheetView showGridLines="0" tabSelected="1" zoomScaleNormal="100" workbookViewId="0">
      <selection activeCell="F49" sqref="F49"/>
    </sheetView>
  </sheetViews>
  <sheetFormatPr baseColWidth="10" defaultColWidth="10.77734375" defaultRowHeight="14.4" x14ac:dyDescent="0.3"/>
  <cols>
    <col min="1" max="1" width="29" customWidth="1"/>
    <col min="2" max="2" width="4.5546875" customWidth="1"/>
    <col min="3" max="3" width="14.88671875" customWidth="1"/>
    <col min="4" max="4" width="10.6640625" customWidth="1"/>
    <col min="5" max="5" width="47.6640625" customWidth="1"/>
    <col min="6" max="6" width="28.109375" customWidth="1"/>
    <col min="7" max="7" width="7.21875" customWidth="1"/>
    <col min="8" max="8" width="12.77734375" customWidth="1"/>
    <col min="9" max="9" width="9.77734375" customWidth="1"/>
    <col min="10" max="10" width="41.109375" customWidth="1"/>
    <col min="11" max="11" width="12" hidden="1" customWidth="1"/>
    <col min="12" max="12" width="25.6640625" customWidth="1"/>
  </cols>
  <sheetData>
    <row r="1" spans="1:12" ht="35.4" customHeight="1" thickBot="1" x14ac:dyDescent="0.35">
      <c r="A1" s="99" t="s">
        <v>41</v>
      </c>
      <c r="B1" s="100"/>
      <c r="C1" s="100"/>
      <c r="D1" s="100"/>
      <c r="E1" s="100"/>
      <c r="F1" s="100"/>
      <c r="G1" s="358">
        <f ca="1">TODAY()</f>
        <v>43827</v>
      </c>
      <c r="H1" s="358"/>
      <c r="I1" s="297"/>
      <c r="J1" s="171" t="s">
        <v>277</v>
      </c>
    </row>
    <row r="2" spans="1:12" ht="7.95" customHeight="1" thickBot="1" x14ac:dyDescent="0.35">
      <c r="A2" s="272"/>
      <c r="I2" s="271"/>
    </row>
    <row r="3" spans="1:12" ht="43.95" customHeight="1" thickBot="1" x14ac:dyDescent="0.35">
      <c r="A3" s="274" t="s">
        <v>342</v>
      </c>
      <c r="E3" s="288" t="s">
        <v>302</v>
      </c>
      <c r="F3" s="352" t="s">
        <v>256</v>
      </c>
      <c r="G3" s="353">
        <f>'6_Wirtschaftlichkeitsrechung'!B104</f>
        <v>0.41431699128303867</v>
      </c>
      <c r="H3" s="354" t="s">
        <v>227</v>
      </c>
      <c r="I3" s="271"/>
      <c r="J3" s="280"/>
    </row>
    <row r="4" spans="1:12" ht="43.95" customHeight="1" thickBot="1" x14ac:dyDescent="0.35">
      <c r="A4" s="275" t="s">
        <v>433</v>
      </c>
      <c r="E4" s="289" t="str">
        <f>IF(AND(G4&lt;G3,G5&gt;0,G6&lt;=C59),"Investitionsempfehlung","keine Investitionsempfehlung")</f>
        <v>Investitionsempfehlung</v>
      </c>
      <c r="F4" s="352" t="s">
        <v>253</v>
      </c>
      <c r="G4" s="353">
        <f>'6_Wirtschaftlichkeitsrechung'!E104</f>
        <v>0.37153549064669467</v>
      </c>
      <c r="H4" s="354" t="s">
        <v>227</v>
      </c>
    </row>
    <row r="5" spans="1:12" ht="43.95" customHeight="1" thickBot="1" x14ac:dyDescent="0.35">
      <c r="A5" s="276" t="s">
        <v>434</v>
      </c>
      <c r="E5" s="286"/>
      <c r="F5" s="352" t="s">
        <v>318</v>
      </c>
      <c r="G5" s="355">
        <f>(VLOOKUP('6_Wirtschaftlichkeitsrechung'!E9,'6_Wirtschaftlichkeitsrechung'!A61:J101,10,TRUE))</f>
        <v>3401.9286901886371</v>
      </c>
      <c r="H5" s="354" t="s">
        <v>181</v>
      </c>
    </row>
    <row r="6" spans="1:12" ht="43.95" customHeight="1" thickBot="1" x14ac:dyDescent="0.35">
      <c r="A6" s="277" t="s">
        <v>478</v>
      </c>
      <c r="E6" s="287"/>
      <c r="F6" s="352" t="s">
        <v>258</v>
      </c>
      <c r="G6" s="356">
        <f>'6_Wirtschaftlichkeitsrechung'!K104</f>
        <v>18</v>
      </c>
      <c r="H6" s="357" t="s">
        <v>57</v>
      </c>
    </row>
    <row r="7" spans="1:12" ht="7.95" customHeight="1" thickBot="1" x14ac:dyDescent="0.35">
      <c r="A7" s="273"/>
    </row>
    <row r="8" spans="1:12" x14ac:dyDescent="0.3">
      <c r="A8" s="43" t="s">
        <v>407</v>
      </c>
      <c r="B8" s="101"/>
      <c r="C8" s="94" t="s">
        <v>175</v>
      </c>
      <c r="D8" s="41"/>
      <c r="E8" s="41"/>
      <c r="F8" s="41"/>
      <c r="G8" s="41"/>
      <c r="H8" s="41"/>
      <c r="I8" s="41"/>
      <c r="J8" s="42"/>
    </row>
    <row r="9" spans="1:12" ht="8.4" customHeight="1" thickBot="1" x14ac:dyDescent="0.35">
      <c r="A9" s="88"/>
      <c r="B9" s="90"/>
      <c r="C9" s="90"/>
      <c r="D9" s="90"/>
      <c r="E9" s="90"/>
      <c r="F9" s="90"/>
      <c r="G9" s="90"/>
      <c r="H9" s="90"/>
      <c r="I9" s="90"/>
      <c r="J9" s="91"/>
    </row>
    <row r="10" spans="1:12" x14ac:dyDescent="0.3">
      <c r="A10" s="43" t="s">
        <v>408</v>
      </c>
      <c r="B10" s="101"/>
      <c r="C10" s="41"/>
      <c r="D10" s="41"/>
      <c r="E10" s="42"/>
      <c r="F10" s="43" t="s">
        <v>409</v>
      </c>
      <c r="G10" s="41"/>
      <c r="H10" s="41"/>
      <c r="I10" s="41"/>
      <c r="J10" s="42"/>
    </row>
    <row r="11" spans="1:12" x14ac:dyDescent="0.3">
      <c r="A11" s="85" t="s">
        <v>46</v>
      </c>
      <c r="B11" s="44"/>
      <c r="C11" s="299" t="s">
        <v>435</v>
      </c>
      <c r="D11" s="44" t="s">
        <v>436</v>
      </c>
      <c r="E11" s="86"/>
      <c r="F11" s="85" t="s">
        <v>46</v>
      </c>
      <c r="G11" s="359" t="s">
        <v>45</v>
      </c>
      <c r="H11" s="359"/>
      <c r="I11" s="359"/>
      <c r="J11" s="86"/>
      <c r="K11" t="str">
        <f>IF($C$8="Ist-Daten",C11,G11)</f>
        <v>3-Personen-Haushalt und mehr</v>
      </c>
    </row>
    <row r="12" spans="1:12" x14ac:dyDescent="0.3">
      <c r="A12" s="85" t="s">
        <v>110</v>
      </c>
      <c r="B12" s="44"/>
      <c r="C12" s="193">
        <v>3100</v>
      </c>
      <c r="D12" s="44" t="s">
        <v>176</v>
      </c>
      <c r="E12" s="86"/>
      <c r="F12" s="92" t="s">
        <v>110</v>
      </c>
      <c r="G12" s="45"/>
      <c r="H12" s="225">
        <f>VLOOKUP(G11,DropDown!A1:B4,2)</f>
        <v>4856</v>
      </c>
      <c r="I12" s="44" t="s">
        <v>176</v>
      </c>
      <c r="J12" s="86"/>
      <c r="K12">
        <f>IF($C$8="Ist-Daten",C12,H12)</f>
        <v>4856</v>
      </c>
    </row>
    <row r="13" spans="1:12" x14ac:dyDescent="0.3">
      <c r="A13" s="85" t="s">
        <v>50</v>
      </c>
      <c r="B13" s="44"/>
      <c r="C13" s="298">
        <v>30</v>
      </c>
      <c r="D13" s="44" t="s">
        <v>49</v>
      </c>
      <c r="E13" s="86"/>
      <c r="F13" s="92" t="s">
        <v>50</v>
      </c>
      <c r="G13" s="45"/>
      <c r="H13" s="113">
        <f>VLOOKUP(G11,DropDown!E2:G4,3)</f>
        <v>29.94</v>
      </c>
      <c r="I13" s="44" t="s">
        <v>49</v>
      </c>
      <c r="J13" s="86"/>
      <c r="K13">
        <f t="shared" ref="K13:K14" si="0">IF($C$8="Ist-Daten",C13,H13)</f>
        <v>29.94</v>
      </c>
      <c r="L13" s="2"/>
    </row>
    <row r="14" spans="1:12" ht="15" thickBot="1" x14ac:dyDescent="0.35">
      <c r="A14" s="88" t="s">
        <v>42</v>
      </c>
      <c r="B14" s="90"/>
      <c r="C14" s="300">
        <f>C12*C13/100</f>
        <v>930</v>
      </c>
      <c r="D14" s="90" t="s">
        <v>51</v>
      </c>
      <c r="E14" s="91"/>
      <c r="F14" s="88" t="s">
        <v>235</v>
      </c>
      <c r="G14" s="45"/>
      <c r="H14" s="336">
        <f>H13*VLOOKUP(G11,DropDown!A2:B4,2)/100</f>
        <v>1453.8864000000001</v>
      </c>
      <c r="I14" s="90" t="s">
        <v>51</v>
      </c>
      <c r="J14" s="91"/>
      <c r="K14">
        <f t="shared" si="0"/>
        <v>1453.8864000000001</v>
      </c>
    </row>
    <row r="15" spans="1:12" x14ac:dyDescent="0.3">
      <c r="A15" s="43" t="s">
        <v>410</v>
      </c>
      <c r="B15" s="41"/>
      <c r="C15" s="41"/>
      <c r="D15" s="41"/>
      <c r="E15" s="41"/>
      <c r="F15" s="41"/>
      <c r="G15" s="96"/>
      <c r="H15" s="41"/>
      <c r="I15" s="41"/>
      <c r="J15" s="42"/>
    </row>
    <row r="16" spans="1:12" ht="8.4" customHeight="1" x14ac:dyDescent="0.3">
      <c r="A16" s="85"/>
      <c r="B16" s="44"/>
      <c r="C16" s="44"/>
      <c r="D16" s="44"/>
      <c r="E16" s="44"/>
      <c r="F16" s="44"/>
      <c r="G16" s="46"/>
      <c r="H16" s="44"/>
      <c r="I16" s="44"/>
      <c r="J16" s="86"/>
    </row>
    <row r="17" spans="1:14" x14ac:dyDescent="0.3">
      <c r="A17" s="92" t="s">
        <v>183</v>
      </c>
      <c r="B17" s="102"/>
      <c r="C17" s="97">
        <v>0.03</v>
      </c>
      <c r="D17" s="44" t="s">
        <v>309</v>
      </c>
      <c r="E17" s="44"/>
      <c r="F17" s="44"/>
      <c r="G17" s="46"/>
      <c r="H17" s="44"/>
      <c r="I17" s="44"/>
      <c r="J17" s="86"/>
    </row>
    <row r="18" spans="1:14" ht="15" thickBot="1" x14ac:dyDescent="0.35">
      <c r="A18" s="98" t="s">
        <v>122</v>
      </c>
      <c r="B18" s="103"/>
      <c r="C18" s="89">
        <v>8.2899999999999991</v>
      </c>
      <c r="D18" s="90" t="s">
        <v>49</v>
      </c>
      <c r="E18" s="90"/>
      <c r="F18" s="90"/>
      <c r="G18" s="93"/>
      <c r="H18" s="90"/>
      <c r="I18" s="90"/>
      <c r="J18" s="91"/>
    </row>
    <row r="19" spans="1:14" ht="15" thickBot="1" x14ac:dyDescent="0.35">
      <c r="A19" s="7"/>
      <c r="B19" s="7"/>
    </row>
    <row r="20" spans="1:14" ht="15" thickBot="1" x14ac:dyDescent="0.35">
      <c r="A20" s="248" t="s">
        <v>411</v>
      </c>
      <c r="B20" s="47"/>
      <c r="C20" s="47"/>
      <c r="D20" s="47"/>
      <c r="E20" s="241"/>
      <c r="F20" s="248" t="s">
        <v>412</v>
      </c>
      <c r="G20" s="249"/>
      <c r="H20" s="47"/>
      <c r="I20" s="47"/>
      <c r="J20" s="241"/>
    </row>
    <row r="21" spans="1:14" x14ac:dyDescent="0.3">
      <c r="A21" s="145" t="s">
        <v>264</v>
      </c>
      <c r="B21" s="44"/>
      <c r="C21" s="139" t="s">
        <v>186</v>
      </c>
      <c r="D21" s="143"/>
      <c r="E21" s="144"/>
      <c r="F21" s="116"/>
      <c r="G21" s="117"/>
      <c r="H21" s="44"/>
      <c r="I21" s="44"/>
      <c r="J21" s="86"/>
    </row>
    <row r="22" spans="1:14" ht="4.95" customHeight="1" x14ac:dyDescent="0.3">
      <c r="A22" s="116"/>
      <c r="B22" s="44"/>
      <c r="C22" s="44"/>
      <c r="D22" s="141"/>
      <c r="E22" s="142"/>
      <c r="F22" s="116"/>
      <c r="G22" s="117"/>
      <c r="H22" s="44"/>
      <c r="I22" s="44"/>
      <c r="J22" s="86"/>
      <c r="K22" s="140"/>
    </row>
    <row r="23" spans="1:14" ht="43.2" x14ac:dyDescent="0.3">
      <c r="A23" s="237" t="s">
        <v>362</v>
      </c>
      <c r="B23" s="135" t="s">
        <v>156</v>
      </c>
      <c r="C23" s="136">
        <f>VLOOKUP(E23,DropDown!A31:B40,2,FALSE)</f>
        <v>0.4</v>
      </c>
      <c r="D23" s="135" t="s">
        <v>187</v>
      </c>
      <c r="E23" s="134" t="s">
        <v>501</v>
      </c>
      <c r="F23" s="137" t="s">
        <v>191</v>
      </c>
      <c r="G23" s="138"/>
      <c r="H23" s="279" t="s">
        <v>385</v>
      </c>
      <c r="I23" s="44"/>
      <c r="J23" s="86"/>
      <c r="K23">
        <f>IF(C21="Windmessung",C24,C25)</f>
        <v>4</v>
      </c>
    </row>
    <row r="24" spans="1:14" ht="15.6" x14ac:dyDescent="0.35">
      <c r="A24" s="237" t="s">
        <v>305</v>
      </c>
      <c r="B24" s="110" t="s">
        <v>307</v>
      </c>
      <c r="C24" s="208">
        <f>'3_Checkliste_Windmessung'!S20</f>
        <v>3.7232190228138724</v>
      </c>
      <c r="D24" s="44" t="s">
        <v>188</v>
      </c>
      <c r="E24" s="210" t="str">
        <f>IF(C21="Windmessung","&lt;-- gewählter Wert für Wirtschaftlichkeitsberechnung"," ")</f>
        <v xml:space="preserve"> </v>
      </c>
      <c r="F24" s="92" t="s">
        <v>192</v>
      </c>
      <c r="G24" s="44" t="s">
        <v>196</v>
      </c>
      <c r="H24" s="87">
        <v>3.5</v>
      </c>
      <c r="I24" s="44" t="s">
        <v>203</v>
      </c>
      <c r="J24" s="86"/>
    </row>
    <row r="25" spans="1:14" ht="15.6" x14ac:dyDescent="0.35">
      <c r="A25" s="238" t="s">
        <v>306</v>
      </c>
      <c r="B25" s="110" t="s">
        <v>308</v>
      </c>
      <c r="C25" s="338">
        <v>4</v>
      </c>
      <c r="D25" s="44" t="s">
        <v>188</v>
      </c>
      <c r="E25" s="209" t="str">
        <f>IF(C21="Abschätzung über Weibullverteilung/Windkarte","&lt;--  gewählter Wert für Wirtschaftlichkeitsberechnung"," ")</f>
        <v>&lt;--  gewählter Wert für Wirtschaftlichkeitsberechnung</v>
      </c>
      <c r="F25" s="92" t="s">
        <v>204</v>
      </c>
      <c r="G25" s="44" t="s">
        <v>205</v>
      </c>
      <c r="H25" s="87">
        <v>12</v>
      </c>
      <c r="I25" s="44" t="s">
        <v>188</v>
      </c>
      <c r="J25" s="86"/>
    </row>
    <row r="26" spans="1:14" ht="15.6" customHeight="1" x14ac:dyDescent="0.35">
      <c r="A26" s="238" t="s">
        <v>263</v>
      </c>
      <c r="B26" s="110" t="s">
        <v>202</v>
      </c>
      <c r="C26" s="118">
        <f>'4_Windgeschwindigkeit Rotorhöhe'!C13</f>
        <v>4.2265655051187574</v>
      </c>
      <c r="D26" s="44"/>
      <c r="E26" s="119"/>
      <c r="F26" s="92" t="s">
        <v>206</v>
      </c>
      <c r="G26" s="44" t="s">
        <v>207</v>
      </c>
      <c r="H26" s="87">
        <v>3</v>
      </c>
      <c r="I26" s="44" t="s">
        <v>188</v>
      </c>
      <c r="J26" s="86"/>
    </row>
    <row r="27" spans="1:14" ht="15.6" x14ac:dyDescent="0.35">
      <c r="A27" s="238" t="s">
        <v>296</v>
      </c>
      <c r="B27" s="110" t="s">
        <v>297</v>
      </c>
      <c r="C27" s="97">
        <v>1</v>
      </c>
      <c r="D27" s="44"/>
      <c r="E27" s="119"/>
      <c r="F27" s="92" t="s">
        <v>352</v>
      </c>
      <c r="G27" s="44" t="s">
        <v>208</v>
      </c>
      <c r="H27" s="87">
        <v>30</v>
      </c>
      <c r="I27" s="44" t="s">
        <v>188</v>
      </c>
      <c r="J27" s="86"/>
    </row>
    <row r="28" spans="1:14" ht="15.6" x14ac:dyDescent="0.35">
      <c r="A28" s="238" t="s">
        <v>244</v>
      </c>
      <c r="B28" s="110" t="s">
        <v>145</v>
      </c>
      <c r="C28" s="193">
        <v>8760</v>
      </c>
      <c r="D28" s="44" t="s">
        <v>213</v>
      </c>
      <c r="E28" s="109" t="s">
        <v>476</v>
      </c>
      <c r="F28" s="92" t="s">
        <v>193</v>
      </c>
      <c r="G28" s="44" t="s">
        <v>198</v>
      </c>
      <c r="H28" s="87">
        <v>12</v>
      </c>
      <c r="I28" s="44" t="s">
        <v>187</v>
      </c>
      <c r="J28" s="86"/>
    </row>
    <row r="29" spans="1:14" ht="15.6" x14ac:dyDescent="0.35">
      <c r="A29" s="238" t="s">
        <v>199</v>
      </c>
      <c r="B29" s="110" t="s">
        <v>29</v>
      </c>
      <c r="C29" s="87">
        <v>1.2250000000000001</v>
      </c>
      <c r="D29" s="44" t="s">
        <v>201</v>
      </c>
      <c r="E29" s="119" t="s">
        <v>477</v>
      </c>
      <c r="F29" s="92" t="s">
        <v>194</v>
      </c>
      <c r="G29" s="44" t="s">
        <v>195</v>
      </c>
      <c r="H29" s="87">
        <v>4</v>
      </c>
      <c r="I29" s="44" t="s">
        <v>187</v>
      </c>
      <c r="J29" s="86"/>
    </row>
    <row r="30" spans="1:14" ht="15.6" x14ac:dyDescent="0.35">
      <c r="A30" s="238" t="s">
        <v>245</v>
      </c>
      <c r="B30" s="110" t="s">
        <v>147</v>
      </c>
      <c r="C30" s="87">
        <v>0.96499999999999997</v>
      </c>
      <c r="D30" s="44"/>
      <c r="E30" s="119"/>
      <c r="F30" s="326" t="s">
        <v>473</v>
      </c>
      <c r="G30" s="44" t="s">
        <v>482</v>
      </c>
      <c r="H30" s="285">
        <f>PI()*(H29^2)/4</f>
        <v>12.566370614359172</v>
      </c>
      <c r="I30" s="44" t="s">
        <v>200</v>
      </c>
      <c r="J30" s="86"/>
      <c r="K30" t="s">
        <v>246</v>
      </c>
      <c r="N30" s="108"/>
    </row>
    <row r="31" spans="1:14" ht="15.6" x14ac:dyDescent="0.35">
      <c r="A31" s="238" t="s">
        <v>247</v>
      </c>
      <c r="B31" s="110" t="s">
        <v>148</v>
      </c>
      <c r="C31" s="87">
        <v>0.995</v>
      </c>
      <c r="D31" s="44"/>
      <c r="E31" s="119"/>
      <c r="F31" s="326" t="s">
        <v>209</v>
      </c>
      <c r="G31" s="44" t="s">
        <v>243</v>
      </c>
      <c r="H31" s="87">
        <v>0.45</v>
      </c>
      <c r="I31" s="44"/>
      <c r="J31" s="86" t="s">
        <v>510</v>
      </c>
    </row>
    <row r="32" spans="1:14" ht="15.6" x14ac:dyDescent="0.35">
      <c r="A32" s="238" t="s">
        <v>249</v>
      </c>
      <c r="B32" s="110" t="s">
        <v>149</v>
      </c>
      <c r="C32" s="206"/>
      <c r="D32" s="44"/>
      <c r="E32" s="86" t="s">
        <v>475</v>
      </c>
      <c r="F32" s="85"/>
      <c r="G32" s="44"/>
      <c r="H32" s="44"/>
      <c r="I32" s="44"/>
      <c r="J32" s="86"/>
    </row>
    <row r="33" spans="1:12" ht="15.6" x14ac:dyDescent="0.35">
      <c r="A33" s="238" t="s">
        <v>248</v>
      </c>
      <c r="B33" s="110" t="s">
        <v>150</v>
      </c>
      <c r="C33" s="111">
        <f>PRODUCT(C30:C32)</f>
        <v>0.960175</v>
      </c>
      <c r="D33" s="44"/>
      <c r="E33" s="86"/>
      <c r="F33" s="85"/>
      <c r="G33" s="44"/>
      <c r="H33" s="44"/>
      <c r="I33" s="44"/>
      <c r="J33" s="86"/>
    </row>
    <row r="34" spans="1:12" x14ac:dyDescent="0.3">
      <c r="A34" s="238" t="s">
        <v>160</v>
      </c>
      <c r="B34" s="110" t="s">
        <v>153</v>
      </c>
      <c r="C34" s="87">
        <v>2</v>
      </c>
      <c r="D34" s="44"/>
      <c r="E34" s="329" t="s">
        <v>474</v>
      </c>
      <c r="F34" s="85"/>
      <c r="G34" s="44"/>
      <c r="H34" s="44"/>
      <c r="I34" s="44"/>
      <c r="J34" s="86"/>
      <c r="K34" t="str">
        <f>IF(C21="Windmessung",C34,"")</f>
        <v/>
      </c>
    </row>
    <row r="35" spans="1:12" ht="15" thickBot="1" x14ac:dyDescent="0.35">
      <c r="A35" s="325" t="s">
        <v>161</v>
      </c>
      <c r="B35" s="112" t="s">
        <v>152</v>
      </c>
      <c r="C35" s="120">
        <f>(2/SQRTPI(1))*C26</f>
        <v>4.7691684643405274</v>
      </c>
      <c r="D35" s="90" t="s">
        <v>188</v>
      </c>
      <c r="E35" s="91" t="s">
        <v>474</v>
      </c>
      <c r="F35" s="114"/>
      <c r="G35" s="115"/>
      <c r="H35" s="90"/>
      <c r="I35" s="90"/>
      <c r="J35" s="91"/>
    </row>
    <row r="36" spans="1:12" s="15" customFormat="1" ht="15" thickBot="1" x14ac:dyDescent="0.35"/>
    <row r="37" spans="1:12" x14ac:dyDescent="0.3">
      <c r="A37" s="43" t="s">
        <v>413</v>
      </c>
      <c r="B37" s="101"/>
      <c r="C37" s="94" t="s">
        <v>175</v>
      </c>
      <c r="D37" s="41"/>
      <c r="E37" s="41"/>
      <c r="F37" s="41"/>
      <c r="G37" s="41"/>
      <c r="H37" s="41"/>
      <c r="I37" s="41"/>
      <c r="J37" s="42"/>
    </row>
    <row r="38" spans="1:12" ht="8.4" customHeight="1" thickBot="1" x14ac:dyDescent="0.35">
      <c r="A38" s="88"/>
      <c r="B38" s="90"/>
      <c r="C38" s="90"/>
      <c r="D38" s="90"/>
      <c r="E38" s="90"/>
      <c r="F38" s="90"/>
      <c r="G38" s="90"/>
      <c r="H38" s="90"/>
      <c r="I38" s="90"/>
      <c r="J38" s="91"/>
    </row>
    <row r="39" spans="1:12" ht="15" thickBot="1" x14ac:dyDescent="0.35">
      <c r="A39" s="43" t="s">
        <v>414</v>
      </c>
      <c r="B39" s="101"/>
      <c r="C39" s="101"/>
      <c r="D39" s="101"/>
      <c r="E39" s="121"/>
      <c r="F39" s="43" t="s">
        <v>415</v>
      </c>
      <c r="G39" s="101"/>
      <c r="H39" s="101"/>
      <c r="I39" s="41"/>
      <c r="J39" s="42"/>
    </row>
    <row r="40" spans="1:12" x14ac:dyDescent="0.3">
      <c r="A40" s="123" t="s">
        <v>103</v>
      </c>
      <c r="B40" s="124"/>
      <c r="C40" s="41"/>
      <c r="D40" s="41"/>
      <c r="E40" s="42"/>
      <c r="F40" s="122" t="s">
        <v>103</v>
      </c>
      <c r="G40" s="41"/>
      <c r="H40" s="41"/>
      <c r="I40" s="41"/>
      <c r="J40" s="42"/>
    </row>
    <row r="41" spans="1:12" x14ac:dyDescent="0.3">
      <c r="A41" s="85" t="s">
        <v>512</v>
      </c>
      <c r="B41" s="44"/>
      <c r="C41" s="193"/>
      <c r="D41" s="44" t="s">
        <v>181</v>
      </c>
      <c r="E41" s="86"/>
      <c r="F41" s="85" t="s">
        <v>108</v>
      </c>
      <c r="G41" s="44"/>
      <c r="H41" s="228">
        <v>3.5</v>
      </c>
      <c r="I41" s="44" t="s">
        <v>203</v>
      </c>
      <c r="J41" s="86"/>
      <c r="K41">
        <f>IF($C$37="Ist-Daten",C41,H41)</f>
        <v>3.5</v>
      </c>
    </row>
    <row r="42" spans="1:12" x14ac:dyDescent="0.3">
      <c r="A42" s="85" t="s">
        <v>99</v>
      </c>
      <c r="B42" s="44"/>
      <c r="C42" s="193"/>
      <c r="D42" s="44" t="s">
        <v>181</v>
      </c>
      <c r="E42" s="86"/>
      <c r="F42" s="85" t="s">
        <v>98</v>
      </c>
      <c r="G42" s="44"/>
      <c r="H42" s="192">
        <f>5000*H41</f>
        <v>17500</v>
      </c>
      <c r="I42" s="44" t="s">
        <v>181</v>
      </c>
      <c r="J42" s="86" t="s">
        <v>527</v>
      </c>
      <c r="K42">
        <f t="shared" ref="K42:K48" si="1">IF($C$37="Ist-Daten",C42,H42)</f>
        <v>17500</v>
      </c>
      <c r="L42" s="2"/>
    </row>
    <row r="43" spans="1:12" x14ac:dyDescent="0.3">
      <c r="A43" s="85" t="s">
        <v>100</v>
      </c>
      <c r="B43" s="44"/>
      <c r="C43" s="193"/>
      <c r="D43" s="44" t="s">
        <v>181</v>
      </c>
      <c r="E43" s="86"/>
      <c r="F43" s="85"/>
      <c r="G43" s="44"/>
      <c r="H43" s="44" t="s">
        <v>314</v>
      </c>
      <c r="I43" s="44"/>
      <c r="J43" s="86" t="s">
        <v>528</v>
      </c>
      <c r="K43" t="str">
        <f t="shared" si="1"/>
        <v xml:space="preserve"> </v>
      </c>
    </row>
    <row r="44" spans="1:12" x14ac:dyDescent="0.3">
      <c r="A44" s="85" t="s">
        <v>101</v>
      </c>
      <c r="B44" s="44"/>
      <c r="C44" s="193"/>
      <c r="D44" s="44" t="s">
        <v>181</v>
      </c>
      <c r="E44" s="86"/>
      <c r="F44" s="85"/>
      <c r="G44" s="44"/>
      <c r="H44" s="44" t="s">
        <v>314</v>
      </c>
      <c r="I44" s="44"/>
      <c r="J44" s="86"/>
      <c r="K44" t="str">
        <f t="shared" si="1"/>
        <v xml:space="preserve"> </v>
      </c>
    </row>
    <row r="45" spans="1:12" x14ac:dyDescent="0.3">
      <c r="A45" s="85" t="s">
        <v>102</v>
      </c>
      <c r="B45" s="44"/>
      <c r="C45" s="193"/>
      <c r="D45" s="44" t="s">
        <v>181</v>
      </c>
      <c r="E45" s="86"/>
      <c r="F45" s="85"/>
      <c r="G45" s="44"/>
      <c r="H45" s="44" t="s">
        <v>314</v>
      </c>
      <c r="I45" s="44"/>
      <c r="J45" s="86"/>
      <c r="K45" t="str">
        <f t="shared" si="1"/>
        <v xml:space="preserve"> </v>
      </c>
    </row>
    <row r="46" spans="1:12" x14ac:dyDescent="0.3">
      <c r="A46" s="85" t="s">
        <v>104</v>
      </c>
      <c r="B46" s="44"/>
      <c r="C46" s="193"/>
      <c r="D46" s="44" t="s">
        <v>181</v>
      </c>
      <c r="E46" s="86"/>
      <c r="F46" s="85"/>
      <c r="G46" s="44"/>
      <c r="H46" s="44" t="s">
        <v>314</v>
      </c>
      <c r="I46" s="44"/>
      <c r="J46" s="86"/>
      <c r="K46" t="str">
        <f t="shared" si="1"/>
        <v xml:space="preserve"> </v>
      </c>
    </row>
    <row r="47" spans="1:12" x14ac:dyDescent="0.3">
      <c r="A47" s="85" t="s">
        <v>11</v>
      </c>
      <c r="B47" s="44"/>
      <c r="C47" s="193"/>
      <c r="D47" s="44" t="s">
        <v>181</v>
      </c>
      <c r="E47" s="86"/>
      <c r="F47" s="85"/>
      <c r="G47" s="44"/>
      <c r="H47" s="44" t="s">
        <v>314</v>
      </c>
      <c r="I47" s="44"/>
      <c r="J47" s="86"/>
      <c r="K47" t="str">
        <f t="shared" si="1"/>
        <v xml:space="preserve"> </v>
      </c>
    </row>
    <row r="48" spans="1:12" x14ac:dyDescent="0.3">
      <c r="A48" s="85" t="s">
        <v>105</v>
      </c>
      <c r="B48" s="44"/>
      <c r="C48" s="193"/>
      <c r="D48" s="44" t="s">
        <v>181</v>
      </c>
      <c r="E48" s="86"/>
      <c r="F48" s="85"/>
      <c r="G48" s="44"/>
      <c r="H48" s="44" t="s">
        <v>314</v>
      </c>
      <c r="I48" s="44"/>
      <c r="J48" s="86"/>
      <c r="K48" t="str">
        <f t="shared" si="1"/>
        <v xml:space="preserve"> </v>
      </c>
    </row>
    <row r="49" spans="1:11" x14ac:dyDescent="0.3">
      <c r="A49" s="85" t="s">
        <v>180</v>
      </c>
      <c r="B49" s="44"/>
      <c r="C49" s="104">
        <f>SUM(C41:C48)</f>
        <v>0</v>
      </c>
      <c r="D49" s="44" t="s">
        <v>181</v>
      </c>
      <c r="E49" s="86"/>
      <c r="F49" s="85" t="s">
        <v>180</v>
      </c>
      <c r="G49" s="44"/>
      <c r="H49" s="192">
        <f>SUM(H42)</f>
        <v>17500</v>
      </c>
      <c r="I49" s="44" t="s">
        <v>181</v>
      </c>
      <c r="J49" s="86"/>
    </row>
    <row r="50" spans="1:11" ht="15" thickBot="1" x14ac:dyDescent="0.35">
      <c r="A50" s="88"/>
      <c r="B50" s="90"/>
      <c r="C50" s="90"/>
      <c r="D50" s="90"/>
      <c r="E50" s="91"/>
      <c r="F50" s="88"/>
      <c r="G50" s="90"/>
      <c r="H50" s="90"/>
      <c r="I50" s="90"/>
      <c r="J50" s="91"/>
    </row>
    <row r="51" spans="1:11" x14ac:dyDescent="0.3">
      <c r="A51" s="123" t="s">
        <v>252</v>
      </c>
      <c r="B51" s="124"/>
      <c r="C51" s="125"/>
      <c r="D51" s="125"/>
      <c r="E51" s="126"/>
      <c r="F51" s="122" t="s">
        <v>252</v>
      </c>
      <c r="G51" s="41"/>
      <c r="H51" s="41"/>
      <c r="I51" s="41"/>
      <c r="J51" s="42"/>
    </row>
    <row r="52" spans="1:11" x14ac:dyDescent="0.3">
      <c r="A52" s="85" t="s">
        <v>107</v>
      </c>
      <c r="B52" s="44"/>
      <c r="C52" s="87"/>
      <c r="D52" s="44" t="s">
        <v>51</v>
      </c>
      <c r="E52" s="86"/>
      <c r="F52" s="85" t="s">
        <v>313</v>
      </c>
      <c r="G52" s="44"/>
      <c r="H52" s="132">
        <v>0.03</v>
      </c>
      <c r="I52" s="44"/>
      <c r="J52" s="86" t="s">
        <v>262</v>
      </c>
      <c r="K52">
        <f>IF($C$37="Ist-Daten",C52,H52)</f>
        <v>0.03</v>
      </c>
    </row>
    <row r="53" spans="1:11" x14ac:dyDescent="0.3">
      <c r="A53" s="85" t="s">
        <v>109</v>
      </c>
      <c r="B53" s="44"/>
      <c r="C53" s="87"/>
      <c r="D53" s="44" t="s">
        <v>51</v>
      </c>
      <c r="E53" s="86"/>
      <c r="F53" s="85" t="s">
        <v>517</v>
      </c>
      <c r="G53" s="44"/>
      <c r="H53" s="44" t="s">
        <v>314</v>
      </c>
      <c r="I53" s="44"/>
      <c r="J53" s="86"/>
      <c r="K53" t="str">
        <f t="shared" ref="K53:K54" si="2">IF($C$37="Ist-Daten",C53,H53)</f>
        <v xml:space="preserve"> </v>
      </c>
    </row>
    <row r="54" spans="1:11" x14ac:dyDescent="0.3">
      <c r="A54" s="85" t="s">
        <v>128</v>
      </c>
      <c r="B54" s="44"/>
      <c r="C54" s="87"/>
      <c r="D54" s="44" t="s">
        <v>51</v>
      </c>
      <c r="E54" s="86"/>
      <c r="F54" s="85"/>
      <c r="G54" s="44"/>
      <c r="H54" s="44" t="s">
        <v>314</v>
      </c>
      <c r="I54" s="44"/>
      <c r="J54" s="86"/>
      <c r="K54" t="str">
        <f t="shared" si="2"/>
        <v xml:space="preserve"> </v>
      </c>
    </row>
    <row r="55" spans="1:11" x14ac:dyDescent="0.3">
      <c r="A55" s="85" t="s">
        <v>180</v>
      </c>
      <c r="B55" s="44"/>
      <c r="C55" s="104">
        <f>SUM(C52:C54)</f>
        <v>0</v>
      </c>
      <c r="D55" s="44" t="s">
        <v>51</v>
      </c>
      <c r="E55" s="86"/>
      <c r="F55" s="85" t="s">
        <v>180</v>
      </c>
      <c r="G55" s="44"/>
      <c r="H55" s="104">
        <f>H52*H42</f>
        <v>525</v>
      </c>
      <c r="I55" s="44" t="s">
        <v>51</v>
      </c>
      <c r="J55" s="86"/>
    </row>
    <row r="56" spans="1:11" ht="15" thickBot="1" x14ac:dyDescent="0.35">
      <c r="A56" s="88" t="s">
        <v>312</v>
      </c>
      <c r="B56" s="90"/>
      <c r="C56" s="133"/>
      <c r="D56" s="90"/>
      <c r="E56" s="91"/>
      <c r="F56" s="88" t="s">
        <v>312</v>
      </c>
      <c r="G56" s="90"/>
      <c r="H56" s="226">
        <v>0.01</v>
      </c>
      <c r="I56" s="90"/>
      <c r="J56" s="91" t="s">
        <v>304</v>
      </c>
      <c r="K56">
        <f>IF($C$37="Ist-Daten",C56,H56)</f>
        <v>0.01</v>
      </c>
    </row>
    <row r="57" spans="1:11" x14ac:dyDescent="0.3">
      <c r="A57" s="43" t="s">
        <v>416</v>
      </c>
      <c r="B57" s="41"/>
      <c r="C57" s="41"/>
      <c r="D57" s="41"/>
      <c r="E57" s="41"/>
      <c r="F57" s="44"/>
      <c r="G57" s="44"/>
      <c r="H57" s="44"/>
      <c r="I57" s="44"/>
      <c r="J57" s="130"/>
    </row>
    <row r="58" spans="1:11" ht="8.4" customHeight="1" x14ac:dyDescent="0.3">
      <c r="A58" s="116"/>
      <c r="B58" s="44"/>
      <c r="C58" s="44"/>
      <c r="D58" s="44"/>
      <c r="E58" s="44"/>
      <c r="F58" s="44"/>
      <c r="G58" s="44"/>
      <c r="H58" s="44"/>
      <c r="I58" s="44"/>
      <c r="J58" s="130"/>
    </row>
    <row r="59" spans="1:11" ht="15" thickBot="1" x14ac:dyDescent="0.35">
      <c r="A59" s="327" t="s">
        <v>405</v>
      </c>
      <c r="B59" s="128"/>
      <c r="C59" s="89">
        <v>20</v>
      </c>
      <c r="D59" s="90" t="s">
        <v>57</v>
      </c>
      <c r="E59" s="90" t="s">
        <v>260</v>
      </c>
      <c r="F59" s="90"/>
      <c r="G59" s="90"/>
      <c r="H59" s="90"/>
      <c r="I59" s="90"/>
      <c r="J59" s="129"/>
    </row>
    <row r="60" spans="1:11" ht="15" thickBot="1" x14ac:dyDescent="0.35">
      <c r="A60" s="15"/>
      <c r="B60" s="15"/>
      <c r="C60" s="15"/>
      <c r="D60" s="15"/>
      <c r="E60" s="15"/>
      <c r="F60" s="15"/>
      <c r="G60" s="15"/>
      <c r="H60" s="15"/>
      <c r="I60" s="15"/>
      <c r="J60" s="16"/>
    </row>
    <row r="61" spans="1:11" x14ac:dyDescent="0.3">
      <c r="A61" s="43" t="s">
        <v>417</v>
      </c>
      <c r="B61" s="101"/>
      <c r="C61" s="41"/>
      <c r="D61" s="41"/>
      <c r="E61" s="41"/>
      <c r="F61" s="41"/>
      <c r="G61" s="41"/>
      <c r="H61" s="41"/>
      <c r="I61" s="41"/>
      <c r="J61" s="127"/>
    </row>
    <row r="62" spans="1:11" ht="8.4" customHeight="1" x14ac:dyDescent="0.3">
      <c r="A62" s="116"/>
      <c r="B62" s="117"/>
      <c r="C62" s="44"/>
      <c r="D62" s="44"/>
      <c r="E62" s="44"/>
      <c r="F62" s="44"/>
      <c r="G62" s="44"/>
      <c r="H62" s="44"/>
      <c r="I62" s="44"/>
      <c r="J62" s="130"/>
    </row>
    <row r="63" spans="1:11" ht="13.95" customHeight="1" x14ac:dyDescent="0.3">
      <c r="A63" s="85" t="s">
        <v>125</v>
      </c>
      <c r="B63" s="44"/>
      <c r="C63" s="192">
        <f>IF(C37="Ist-Daten",C49,H49)</f>
        <v>17500</v>
      </c>
      <c r="D63" s="44" t="s">
        <v>181</v>
      </c>
      <c r="E63" s="44"/>
      <c r="F63" s="44"/>
      <c r="G63" s="44"/>
      <c r="H63" s="44"/>
      <c r="I63" s="44"/>
      <c r="J63" s="130"/>
    </row>
    <row r="64" spans="1:11" x14ac:dyDescent="0.3">
      <c r="A64" s="85" t="s">
        <v>123</v>
      </c>
      <c r="B64" s="44"/>
      <c r="C64" s="193">
        <v>10000</v>
      </c>
      <c r="D64" s="44" t="s">
        <v>181</v>
      </c>
      <c r="E64" s="44"/>
      <c r="F64" s="44"/>
      <c r="G64" s="44"/>
      <c r="H64" s="44"/>
      <c r="I64" s="44"/>
      <c r="J64" s="130"/>
    </row>
    <row r="65" spans="1:10" x14ac:dyDescent="0.3">
      <c r="A65" s="85" t="s">
        <v>124</v>
      </c>
      <c r="B65" s="44"/>
      <c r="C65" s="192">
        <f>C63-C64</f>
        <v>7500</v>
      </c>
      <c r="D65" s="44" t="s">
        <v>181</v>
      </c>
      <c r="E65" s="44"/>
      <c r="F65" s="44"/>
      <c r="G65" s="44"/>
      <c r="H65" s="44"/>
      <c r="I65" s="44"/>
      <c r="J65" s="130"/>
    </row>
    <row r="66" spans="1:10" x14ac:dyDescent="0.3">
      <c r="A66" s="85" t="s">
        <v>127</v>
      </c>
      <c r="B66" s="44"/>
      <c r="C66" s="131">
        <f>C65/C63</f>
        <v>0.42857142857142855</v>
      </c>
      <c r="D66" s="44"/>
      <c r="E66" s="44"/>
      <c r="F66" s="44"/>
      <c r="G66" s="44"/>
      <c r="H66" s="44"/>
      <c r="I66" s="44"/>
      <c r="J66" s="130"/>
    </row>
    <row r="67" spans="1:10" ht="13.95" customHeight="1" x14ac:dyDescent="0.3">
      <c r="A67" s="85" t="s">
        <v>311</v>
      </c>
      <c r="B67" s="44"/>
      <c r="C67" s="132">
        <v>0.02</v>
      </c>
      <c r="D67" s="44"/>
      <c r="E67" s="44" t="s">
        <v>325</v>
      </c>
      <c r="F67" s="44"/>
      <c r="G67" s="44"/>
      <c r="H67" s="44"/>
      <c r="I67" s="44"/>
      <c r="J67" s="130"/>
    </row>
    <row r="68" spans="1:10" x14ac:dyDescent="0.3">
      <c r="A68" s="85" t="s">
        <v>310</v>
      </c>
      <c r="B68" s="44"/>
      <c r="C68" s="193">
        <v>1500</v>
      </c>
      <c r="D68" s="44" t="s">
        <v>51</v>
      </c>
      <c r="E68" s="44"/>
      <c r="F68" s="44"/>
      <c r="G68" s="44"/>
      <c r="H68" s="44"/>
      <c r="I68" s="44"/>
      <c r="J68" s="130"/>
    </row>
    <row r="69" spans="1:10" ht="15" thickBot="1" x14ac:dyDescent="0.35">
      <c r="A69" s="88" t="s">
        <v>406</v>
      </c>
      <c r="B69" s="90"/>
      <c r="C69" s="90">
        <f>'6_Wirtschaftlichkeitsrechung'!M56</f>
        <v>6</v>
      </c>
      <c r="D69" s="90" t="s">
        <v>57</v>
      </c>
      <c r="E69" s="90"/>
      <c r="F69" s="90"/>
      <c r="G69" s="90"/>
      <c r="H69" s="90"/>
      <c r="I69" s="90"/>
      <c r="J69" s="129"/>
    </row>
    <row r="70" spans="1:10" ht="15" thickBot="1" x14ac:dyDescent="0.35">
      <c r="A70" s="15"/>
      <c r="B70" s="15"/>
      <c r="C70" s="15"/>
      <c r="D70" s="15"/>
      <c r="E70" s="15"/>
      <c r="F70" s="15"/>
      <c r="G70" s="15"/>
      <c r="H70" s="15"/>
      <c r="I70" s="15"/>
      <c r="J70" s="16"/>
    </row>
    <row r="71" spans="1:10" ht="13.8" customHeight="1" x14ac:dyDescent="0.3">
      <c r="A71" s="43" t="s">
        <v>515</v>
      </c>
      <c r="B71" s="41"/>
      <c r="C71" s="345"/>
      <c r="D71" s="41"/>
      <c r="E71" s="41"/>
      <c r="F71" s="41"/>
      <c r="G71" s="41"/>
      <c r="H71" s="41"/>
      <c r="I71" s="41"/>
      <c r="J71" s="127"/>
    </row>
    <row r="72" spans="1:10" ht="8.4" customHeight="1" x14ac:dyDescent="0.3">
      <c r="A72" s="85"/>
      <c r="B72" s="44"/>
      <c r="C72" s="346"/>
      <c r="D72" s="44"/>
      <c r="E72" s="44"/>
      <c r="F72" s="44"/>
      <c r="G72" s="44"/>
      <c r="H72" s="44"/>
      <c r="I72" s="44"/>
      <c r="J72" s="130"/>
    </row>
    <row r="73" spans="1:10" ht="13.95" customHeight="1" x14ac:dyDescent="0.3">
      <c r="A73" s="85" t="s">
        <v>223</v>
      </c>
      <c r="B73" s="44"/>
      <c r="C73" s="346">
        <f>IF(C8="Ist-Daten",C12,H12)</f>
        <v>4856</v>
      </c>
      <c r="D73" s="44" t="s">
        <v>176</v>
      </c>
      <c r="E73" s="44"/>
      <c r="F73" s="44"/>
      <c r="G73" s="44"/>
      <c r="H73" s="44"/>
      <c r="I73" s="44"/>
      <c r="J73" s="130"/>
    </row>
    <row r="74" spans="1:10" x14ac:dyDescent="0.3">
      <c r="A74" s="85" t="s">
        <v>115</v>
      </c>
      <c r="B74" s="44"/>
      <c r="C74" s="346">
        <f>'5_Ertrag'!I108</f>
        <v>3975.9342701721375</v>
      </c>
      <c r="D74" s="44" t="s">
        <v>176</v>
      </c>
      <c r="E74" s="44" t="s">
        <v>486</v>
      </c>
      <c r="F74" s="44"/>
      <c r="G74" s="44"/>
      <c r="H74" s="44"/>
      <c r="I74" s="44"/>
      <c r="J74" s="86"/>
    </row>
    <row r="75" spans="1:10" x14ac:dyDescent="0.3">
      <c r="A75" s="85" t="s">
        <v>116</v>
      </c>
      <c r="B75" s="44"/>
      <c r="C75" s="346">
        <f>IF(C74&lt;H12,C74,IF(C8="Ist-Daten",C12,H12))</f>
        <v>3975.9342701721375</v>
      </c>
      <c r="D75" s="44" t="s">
        <v>176</v>
      </c>
      <c r="E75" s="44" t="s">
        <v>485</v>
      </c>
      <c r="F75" s="44"/>
      <c r="G75" s="44"/>
      <c r="H75" s="44"/>
      <c r="I75" s="44"/>
      <c r="J75" s="86"/>
    </row>
    <row r="76" spans="1:10" x14ac:dyDescent="0.3">
      <c r="A76" s="85" t="s">
        <v>117</v>
      </c>
      <c r="B76" s="44"/>
      <c r="C76" s="346">
        <f>IF(C74&gt;=(IF(C8="Ist-Daten",C12,H12)),C74-C75,0)</f>
        <v>0</v>
      </c>
      <c r="D76" s="44" t="s">
        <v>176</v>
      </c>
      <c r="E76" s="44"/>
      <c r="F76" s="44"/>
      <c r="G76" s="44"/>
      <c r="H76" s="44"/>
      <c r="I76" s="44"/>
      <c r="J76" s="86"/>
    </row>
    <row r="77" spans="1:10" ht="15" thickBot="1" x14ac:dyDescent="0.35">
      <c r="A77" s="88" t="s">
        <v>182</v>
      </c>
      <c r="B77" s="90"/>
      <c r="C77" s="347">
        <f>IF(C75&gt;=C74,C73-C74,0)</f>
        <v>880.06572982786247</v>
      </c>
      <c r="D77" s="90" t="s">
        <v>176</v>
      </c>
      <c r="E77" s="90"/>
      <c r="F77" s="90"/>
      <c r="G77" s="90"/>
      <c r="H77" s="90"/>
      <c r="I77" s="90"/>
      <c r="J77" s="91"/>
    </row>
    <row r="78" spans="1:10" ht="15" thickBot="1" x14ac:dyDescent="0.35">
      <c r="A78" s="15"/>
      <c r="B78" s="15"/>
      <c r="C78" s="15"/>
      <c r="D78" s="15"/>
      <c r="E78" s="15"/>
      <c r="F78" s="15"/>
      <c r="G78" s="15"/>
      <c r="H78" s="15"/>
      <c r="I78" s="15"/>
      <c r="J78" s="15"/>
    </row>
    <row r="79" spans="1:10" s="105" customFormat="1" x14ac:dyDescent="0.3">
      <c r="A79" s="43" t="s">
        <v>516</v>
      </c>
      <c r="B79" s="41"/>
      <c r="C79" s="335"/>
      <c r="D79" s="41"/>
      <c r="E79" s="41"/>
      <c r="F79" s="41"/>
      <c r="G79" s="41"/>
      <c r="H79" s="41"/>
      <c r="I79" s="41"/>
      <c r="J79" s="42"/>
    </row>
    <row r="80" spans="1:10" s="105" customFormat="1" ht="8.4" customHeight="1" x14ac:dyDescent="0.3">
      <c r="A80" s="85"/>
      <c r="B80" s="44"/>
      <c r="C80" s="285"/>
      <c r="D80" s="44"/>
      <c r="E80" s="44"/>
      <c r="F80" s="44"/>
      <c r="G80" s="44"/>
      <c r="H80" s="44"/>
      <c r="I80" s="44"/>
      <c r="J80" s="86"/>
    </row>
    <row r="81" spans="1:10" x14ac:dyDescent="0.3">
      <c r="A81" s="85" t="s">
        <v>224</v>
      </c>
      <c r="B81" s="44"/>
      <c r="C81" s="285">
        <f>C18*C76/100</f>
        <v>0</v>
      </c>
      <c r="D81" s="44" t="s">
        <v>51</v>
      </c>
      <c r="E81" s="44" t="s">
        <v>487</v>
      </c>
      <c r="F81" s="44"/>
      <c r="G81" s="44"/>
      <c r="H81" s="44"/>
      <c r="I81" s="44"/>
      <c r="J81" s="86"/>
    </row>
    <row r="82" spans="1:10" ht="15" thickBot="1" x14ac:dyDescent="0.35">
      <c r="A82" s="88" t="s">
        <v>225</v>
      </c>
      <c r="B82" s="90"/>
      <c r="C82" s="93">
        <f>C77*H13/100</f>
        <v>263.49167951046201</v>
      </c>
      <c r="D82" s="90" t="s">
        <v>51</v>
      </c>
      <c r="E82" s="90" t="s">
        <v>487</v>
      </c>
      <c r="F82" s="90"/>
      <c r="G82" s="90"/>
      <c r="H82" s="90"/>
      <c r="I82" s="90"/>
      <c r="J82" s="91"/>
    </row>
    <row r="84" spans="1:10" ht="30" customHeight="1" x14ac:dyDescent="0.3">
      <c r="A84" s="236"/>
      <c r="B84" s="236"/>
      <c r="C84" s="236"/>
      <c r="D84" s="236"/>
    </row>
    <row r="85" spans="1:10" ht="30" customHeight="1" x14ac:dyDescent="0.3"/>
    <row r="86" spans="1:10" ht="30" customHeight="1" x14ac:dyDescent="0.3"/>
    <row r="87" spans="1:10" ht="30" customHeight="1" x14ac:dyDescent="0.3"/>
    <row r="88" spans="1:10" ht="30" customHeight="1" x14ac:dyDescent="0.3"/>
  </sheetData>
  <mergeCells count="2">
    <mergeCell ref="G1:H1"/>
    <mergeCell ref="G11:I11"/>
  </mergeCells>
  <conditionalFormatting sqref="G5">
    <cfRule type="cellIs" dxfId="45" priority="35" operator="equal">
      <formula>0</formula>
    </cfRule>
    <cfRule type="cellIs" dxfId="44" priority="36" operator="greaterThan">
      <formula>0</formula>
    </cfRule>
    <cfRule type="cellIs" dxfId="43" priority="37" operator="lessThan">
      <formula>0</formula>
    </cfRule>
  </conditionalFormatting>
  <conditionalFormatting sqref="G4">
    <cfRule type="cellIs" dxfId="42" priority="32" operator="equal">
      <formula>$G$3</formula>
    </cfRule>
    <cfRule type="cellIs" dxfId="41" priority="33" operator="greaterThan">
      <formula>$G$3</formula>
    </cfRule>
    <cfRule type="cellIs" dxfId="40" priority="34" operator="lessThan">
      <formula>$G$3</formula>
    </cfRule>
  </conditionalFormatting>
  <conditionalFormatting sqref="G6">
    <cfRule type="cellIs" dxfId="39" priority="30" operator="greaterThan">
      <formula>$C$59</formula>
    </cfRule>
    <cfRule type="cellIs" dxfId="38" priority="31" operator="lessThanOrEqual">
      <formula>$C$59</formula>
    </cfRule>
  </conditionalFormatting>
  <conditionalFormatting sqref="C24">
    <cfRule type="cellIs" dxfId="37" priority="28" operator="equal">
      <formula>$K$23</formula>
    </cfRule>
  </conditionalFormatting>
  <conditionalFormatting sqref="C25">
    <cfRule type="cellIs" dxfId="36" priority="26" operator="notEqual">
      <formula>$K$23</formula>
    </cfRule>
    <cfRule type="cellIs" dxfId="35" priority="27" operator="equal">
      <formula>$K$23</formula>
    </cfRule>
  </conditionalFormatting>
  <conditionalFormatting sqref="C12">
    <cfRule type="cellIs" dxfId="34" priority="25" operator="notEqual">
      <formula>$K$12</formula>
    </cfRule>
  </conditionalFormatting>
  <conditionalFormatting sqref="C13">
    <cfRule type="cellIs" dxfId="33" priority="24" operator="notEqual">
      <formula>$K$13</formula>
    </cfRule>
  </conditionalFormatting>
  <conditionalFormatting sqref="G11">
    <cfRule type="cellIs" dxfId="32" priority="22" operator="notEqual">
      <formula>$K$11</formula>
    </cfRule>
  </conditionalFormatting>
  <conditionalFormatting sqref="H52">
    <cfRule type="cellIs" dxfId="31" priority="20" operator="notEqual">
      <formula>$K$52</formula>
    </cfRule>
  </conditionalFormatting>
  <conditionalFormatting sqref="H56">
    <cfRule type="cellIs" dxfId="30" priority="19" operator="notEqual">
      <formula>$K$56</formula>
    </cfRule>
  </conditionalFormatting>
  <conditionalFormatting sqref="C41">
    <cfRule type="cellIs" dxfId="29" priority="18" operator="notEqual">
      <formula>$K$41</formula>
    </cfRule>
  </conditionalFormatting>
  <conditionalFormatting sqref="C42">
    <cfRule type="cellIs" dxfId="28" priority="17" operator="notEqual">
      <formula>$K$42</formula>
    </cfRule>
  </conditionalFormatting>
  <conditionalFormatting sqref="C43">
    <cfRule type="cellIs" dxfId="27" priority="16" operator="notEqual">
      <formula>$K$43</formula>
    </cfRule>
  </conditionalFormatting>
  <conditionalFormatting sqref="C44">
    <cfRule type="cellIs" dxfId="26" priority="15" operator="notEqual">
      <formula>$K$44</formula>
    </cfRule>
  </conditionalFormatting>
  <conditionalFormatting sqref="C45">
    <cfRule type="cellIs" dxfId="25" priority="14" operator="notEqual">
      <formula>$K$45</formula>
    </cfRule>
  </conditionalFormatting>
  <conditionalFormatting sqref="C46">
    <cfRule type="cellIs" dxfId="24" priority="13" operator="notEqual">
      <formula>$K$46</formula>
    </cfRule>
  </conditionalFormatting>
  <conditionalFormatting sqref="C47">
    <cfRule type="cellIs" dxfId="23" priority="12" operator="notEqual">
      <formula>$K$47</formula>
    </cfRule>
  </conditionalFormatting>
  <conditionalFormatting sqref="C48">
    <cfRule type="cellIs" dxfId="22" priority="11" operator="notEqual">
      <formula>$K$48</formula>
    </cfRule>
  </conditionalFormatting>
  <conditionalFormatting sqref="C52">
    <cfRule type="cellIs" dxfId="21" priority="10" operator="notEqual">
      <formula>$K$52</formula>
    </cfRule>
  </conditionalFormatting>
  <conditionalFormatting sqref="C53">
    <cfRule type="cellIs" dxfId="20" priority="9" operator="notEqual">
      <formula>$K$53</formula>
    </cfRule>
  </conditionalFormatting>
  <conditionalFormatting sqref="C54">
    <cfRule type="cellIs" dxfId="19" priority="8" operator="notEqual">
      <formula>$K$54</formula>
    </cfRule>
  </conditionalFormatting>
  <conditionalFormatting sqref="C56">
    <cfRule type="cellIs" dxfId="18" priority="7" operator="notEqual">
      <formula>$K$56</formula>
    </cfRule>
  </conditionalFormatting>
  <conditionalFormatting sqref="H41">
    <cfRule type="cellIs" dxfId="17" priority="39" operator="notEqual">
      <formula>$K$41</formula>
    </cfRule>
    <cfRule type="cellIs" dxfId="16" priority="40" operator="notEqual">
      <formula>$H$24</formula>
    </cfRule>
  </conditionalFormatting>
  <conditionalFormatting sqref="E4">
    <cfRule type="containsText" dxfId="15" priority="4" operator="containsText" text="keine Investitionsempfehlung">
      <formula>NOT(ISERROR(SEARCH("keine Investitionsempfehlung",E4)))</formula>
    </cfRule>
    <cfRule type="containsText" dxfId="14" priority="5" operator="containsText" text="Investitionsempfehlung">
      <formula>NOT(ISERROR(SEARCH("Investitionsempfehlung",E4)))</formula>
    </cfRule>
  </conditionalFormatting>
  <conditionalFormatting sqref="C14">
    <cfRule type="cellIs" dxfId="13" priority="3" operator="notEqual">
      <formula>$K$12</formula>
    </cfRule>
  </conditionalFormatting>
  <conditionalFormatting sqref="C11">
    <cfRule type="cellIs" dxfId="12" priority="2" operator="notEqual">
      <formula>$K$11</formula>
    </cfRule>
  </conditionalFormatting>
  <conditionalFormatting sqref="C34">
    <cfRule type="cellIs" dxfId="11" priority="1" operator="equal">
      <formula>$K$34</formula>
    </cfRule>
  </conditionalFormatting>
  <dataValidations count="6">
    <dataValidation type="list" allowBlank="1" showInputMessage="1" showErrorMessage="1" sqref="G11" xr:uid="{9B8E73A7-5D47-4594-A188-08A55905A4A4}">
      <formula1>Haushaltsgröße</formula1>
    </dataValidation>
    <dataValidation type="list" allowBlank="1" showInputMessage="1" showErrorMessage="1" sqref="C8" xr:uid="{A1C5D81B-0A8E-4BCD-99EF-6EE7E471B409}">
      <formula1>Daten_Stromkosten_Stromverbrauch</formula1>
    </dataValidation>
    <dataValidation type="list" allowBlank="1" showInputMessage="1" showErrorMessage="1" sqref="C37" xr:uid="{2375D200-92BA-423B-B501-4AA17288BE82}">
      <formula1>Daten_Kosten_der_Windkraftanlage</formula1>
    </dataValidation>
    <dataValidation type="list" allowBlank="1" showInputMessage="1" showErrorMessage="1" sqref="E23" xr:uid="{5C45E9CC-C2F4-4F4E-B150-71F842ACF610}">
      <formula1>Rauhigkeitslängen</formula1>
    </dataValidation>
    <dataValidation type="list" allowBlank="1" showInputMessage="1" showErrorMessage="1" sqref="C21" xr:uid="{77A75DCF-5D56-4E21-8B6F-4F02167047DD}">
      <formula1>Basis_der_Winddaten</formula1>
    </dataValidation>
    <dataValidation type="list" allowBlank="1" showInputMessage="1" showErrorMessage="1" sqref="H41" xr:uid="{A9087284-8B21-4566-BBC9-721E631DAB60}">
      <formula1>Nennleistung</formula1>
    </dataValidation>
  </dataValidations>
  <hyperlinks>
    <hyperlink ref="A17" location="'7_Erläuterungen_Hinweise'!A4" display="Strompreisteigerung" xr:uid="{912AA5C1-1B03-49B5-834B-DB9D8EDAFB44}"/>
    <hyperlink ref="F12" location="'7_Erläuterungen_Hinweise'!A2" display="Stromverbrauch" xr:uid="{0AA2D36B-D5AC-4E55-A416-ED4002EC8CFC}"/>
    <hyperlink ref="F13" location="'7_Erläuterungen_Hinweise'!A3" display="Stromkosten/kWh" xr:uid="{99501A32-05A3-443E-A621-69C04F0ACAAD}"/>
    <hyperlink ref="A18" location="'7_Erläuterungen_Hinweise'!A5" display="Einspeisevergütung/kWh" xr:uid="{E211D9E3-5E0F-4E41-83C6-A70CBE17272F}"/>
    <hyperlink ref="A40" location="'7_Erläuterungen_Hinweise'!A31" display="Investitionskosten" xr:uid="{AA374E4F-F263-404B-ABF6-109052485622}"/>
    <hyperlink ref="A51" location="'7_Erläuterungen_Hinweise'!A33" display="Betriebskosten" xr:uid="{8E9C9B74-2882-45B4-AC6E-D5F66EE19BE5}"/>
    <hyperlink ref="A59" location="'7_Erläuterungen_Hinweise'!A34" display="vorausgesetzte Lebensdauer WKA" xr:uid="{1438DC11-4566-4BBE-8D27-306A684A8A6F}"/>
    <hyperlink ref="A24" location="'3_Windmessung'!A1" display="Windgeschwindigkeit Messung" xr:uid="{9110F93C-E211-4EC6-9746-2EBDD91A166F}"/>
    <hyperlink ref="A25" location="'2_Windkarte'!A1" display="Windgeschwindigkeit Windkarte" xr:uid="{C61ED8E0-A4D7-428E-9506-964A4B493516}"/>
    <hyperlink ref="A6" location="'7_Erläuterungen_Hinweise'!A1" display="Links zu weiteren Informationen " xr:uid="{91214BE1-8924-4F1D-9253-B565DA0DC22C}"/>
    <hyperlink ref="A23" location="'7_Erläuterungen_Hinweise'!A7" display="Rauhigkeitslänge" xr:uid="{8A9BD1BE-10DD-4150-B638-E323E67DE1B8}"/>
    <hyperlink ref="A26" location="'7_Erläuterungen_Hinweise'!A9" display="Windgeschwindigkeit in Rotorhöhe" xr:uid="{38CCB866-835E-4532-99CF-164E3B6F4F14}"/>
    <hyperlink ref="A27" location="'7_Erläuterungen_Hinweise'!A10" display="Windindex" xr:uid="{D0D735AF-E7C4-4B63-B336-7041DA5E8287}"/>
    <hyperlink ref="A28" location="'7_Erläuterungen_Hinweise'!A11" display="betrachteter Zeitraum in h" xr:uid="{AC3EF58E-A428-49D8-A09A-FB9654347AED}"/>
    <hyperlink ref="A29" location="'7_Erläuterungen_Hinweise'!A12" display="Luftdichte" xr:uid="{0FD534F6-955B-4F2B-9217-9075E9E46D4E}"/>
    <hyperlink ref="A30" location="'7_Erläuterungen_Hinweise'!A13" display="Wechselrichterwirkungsgrad" xr:uid="{92B5E47A-CED2-47DE-BA4F-5834D2D9E526}"/>
    <hyperlink ref="A31" location="'7_Erläuterungen_Hinweise'!A14" display="Leitungswirkungsgrad" xr:uid="{F69DF7ED-0109-4EBD-8521-167A79950D18}"/>
    <hyperlink ref="A32" location="'7_Erläuterungen_Hinweise'!A15" display="Wirkungsgrad Netzeinspeisung" xr:uid="{327E2CEB-2B7C-4220-A3E9-8E3714434D78}"/>
    <hyperlink ref="A33" location="'7_Erläuterungen_Hinweise'!A16" display="Gesamtwirkungsgrad" xr:uid="{F2A3161D-8016-4384-923E-8F795BE367A5}"/>
    <hyperlink ref="A34" location="'7_Erläuterungen_Hinweise'!A20" display="Formfaktor " xr:uid="{7BCDE5B2-2E9D-4C4C-8772-288A3EA54E48}"/>
    <hyperlink ref="A35" location="'1_Cockpit'!A21" display="Skalierungsfaktor " xr:uid="{29CE66EF-D950-48C3-9867-297643AB0A38}"/>
    <hyperlink ref="F24" location="'7_Erläuterungen_Hinweise'!A23" display="Nennleistung" xr:uid="{B4FF23E2-99F0-4BB6-B7F8-7AFCF4BF2532}"/>
    <hyperlink ref="F25" location="'7_Erläuterungen_Hinweise'!A24" display="Nennwindgeschwindigkeit" xr:uid="{06440544-8C76-4286-ABA3-EB17C88E3586}"/>
    <hyperlink ref="F26" location="'7_Erläuterungen_Hinweise'!A25" display="Einschaltgeschwindigkeit" xr:uid="{633F889C-EE52-4EBB-850A-041BAE774505}"/>
    <hyperlink ref="F27" location="'7_Erläuterungen_Hinweise'!A26" display="Abschaltgeschwindigkeit" xr:uid="{71D4681D-6261-4450-8B82-FFFF15322826}"/>
    <hyperlink ref="F28" location="'7_Erläuterungen_Hinweise'!A27" display="Nabenhöhe/Rotorhöhe" xr:uid="{E0F707A4-BE3D-40D4-802E-D041525085D4}"/>
    <hyperlink ref="F29" location="'7_Erläuterungen_Hinweise'!A28" display="Rotordurchmesser" xr:uid="{65323E13-FCF8-408E-B2E7-9A428A5FDB6C}"/>
    <hyperlink ref="F30" location="'7_Erläuterungen_Hinweise'!A29" display="Überstrichene Rotorfläche" xr:uid="{572D88E5-4F1F-48B9-B87A-B8A0C1A25C99}"/>
    <hyperlink ref="F31" location="'7_Erläuterungen_Hinweise'!A30" display="Leistungsbeiwert" xr:uid="{87FCB9D2-54E9-4119-A364-D2F44CA12D96}"/>
    <hyperlink ref="E34" location="'7_Erläuterungen_Hinweise'!A17" display="(siehe Häufigkeitsverteilung Weibull, Rechnung Windkarte)" xr:uid="{B84E0898-3215-4B84-9FA9-07612B76FAC6}"/>
    <hyperlink ref="E74" location="'5_Ertrag'!I108" display="(siehe &quot;5_Ertrag&quot;)" xr:uid="{6E38A0DE-F1E9-495F-88A4-09F0F8B79780}"/>
  </hyperlinks>
  <pageMargins left="0.7" right="0.7" top="0.78740157499999996" bottom="0.78740157499999996"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notEqual" id="{4BC4BBD4-4C4C-49C1-8101-55764D282045}">
            <xm:f>'4_Windgeschwindigkeit Rotorhöhe'!$C$12</xm:f>
            <x14:dxf>
              <fill>
                <patternFill>
                  <bgColor rgb="FFFF0000"/>
                </patternFill>
              </fill>
            </x14:dxf>
          </x14:cfRule>
          <xm:sqref>H28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FFCD3-4753-49E0-83C6-05AAF31EA675}">
  <dimension ref="B1:F8"/>
  <sheetViews>
    <sheetView workbookViewId="0">
      <selection activeCell="H14" sqref="H14"/>
    </sheetView>
  </sheetViews>
  <sheetFormatPr baseColWidth="10" defaultColWidth="10.77734375" defaultRowHeight="14.4" x14ac:dyDescent="0.3"/>
  <sheetData>
    <row r="1" spans="2:6" x14ac:dyDescent="0.3">
      <c r="B1" t="s">
        <v>3</v>
      </c>
    </row>
    <row r="2" spans="2:6" x14ac:dyDescent="0.3">
      <c r="B2" t="s">
        <v>4</v>
      </c>
    </row>
    <row r="8" spans="2:6" x14ac:dyDescent="0.3">
      <c r="F8" t="s">
        <v>491</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72272-92A9-48EB-BEAF-F90A00E80BB0}">
  <dimension ref="A1:G41"/>
  <sheetViews>
    <sheetView topLeftCell="A52" workbookViewId="0">
      <selection activeCell="F52" sqref="F52"/>
    </sheetView>
  </sheetViews>
  <sheetFormatPr baseColWidth="10" defaultColWidth="10.77734375" defaultRowHeight="14.4" x14ac:dyDescent="0.3"/>
  <cols>
    <col min="1" max="1" width="28.33203125" customWidth="1"/>
    <col min="2" max="2" width="21.33203125" bestFit="1" customWidth="1"/>
    <col min="5" max="5" width="16.5546875" bestFit="1" customWidth="1"/>
    <col min="6" max="6" width="26.44140625" bestFit="1" customWidth="1"/>
    <col min="7" max="7" width="19.88671875" bestFit="1" customWidth="1"/>
  </cols>
  <sheetData>
    <row r="1" spans="1:7" x14ac:dyDescent="0.3">
      <c r="A1" t="s">
        <v>46</v>
      </c>
      <c r="B1" t="s">
        <v>47</v>
      </c>
      <c r="G1" t="s">
        <v>53</v>
      </c>
    </row>
    <row r="2" spans="1:7" x14ac:dyDescent="0.3">
      <c r="A2" t="s">
        <v>43</v>
      </c>
      <c r="B2">
        <v>2005</v>
      </c>
      <c r="E2" t="s">
        <v>54</v>
      </c>
      <c r="F2" t="s">
        <v>43</v>
      </c>
      <c r="G2">
        <v>33.32</v>
      </c>
    </row>
    <row r="3" spans="1:7" x14ac:dyDescent="0.3">
      <c r="A3" t="s">
        <v>44</v>
      </c>
      <c r="B3">
        <v>3205</v>
      </c>
      <c r="E3" t="s">
        <v>52</v>
      </c>
      <c r="F3" t="s">
        <v>44</v>
      </c>
      <c r="G3">
        <v>29.94</v>
      </c>
    </row>
    <row r="4" spans="1:7" x14ac:dyDescent="0.3">
      <c r="A4" t="s">
        <v>45</v>
      </c>
      <c r="B4">
        <v>4856</v>
      </c>
      <c r="E4" t="s">
        <v>52</v>
      </c>
      <c r="F4" t="s">
        <v>45</v>
      </c>
      <c r="G4">
        <v>29.94</v>
      </c>
    </row>
    <row r="6" spans="1:7" x14ac:dyDescent="0.3">
      <c r="A6" t="s">
        <v>56</v>
      </c>
      <c r="B6" t="s">
        <v>48</v>
      </c>
      <c r="F6" t="s">
        <v>55</v>
      </c>
      <c r="G6" s="2" t="s">
        <v>112</v>
      </c>
    </row>
    <row r="7" spans="1:7" x14ac:dyDescent="0.3">
      <c r="A7" s="2" t="s">
        <v>111</v>
      </c>
    </row>
    <row r="12" spans="1:7" x14ac:dyDescent="0.3">
      <c r="D12" t="s">
        <v>192</v>
      </c>
    </row>
    <row r="13" spans="1:7" x14ac:dyDescent="0.3">
      <c r="B13" s="8"/>
      <c r="D13" s="227">
        <v>0.5</v>
      </c>
    </row>
    <row r="14" spans="1:7" x14ac:dyDescent="0.3">
      <c r="B14" s="6"/>
      <c r="D14" s="227">
        <v>1</v>
      </c>
    </row>
    <row r="15" spans="1:7" x14ac:dyDescent="0.3">
      <c r="D15" s="227">
        <v>1.5</v>
      </c>
    </row>
    <row r="16" spans="1:7" x14ac:dyDescent="0.3">
      <c r="D16" s="227">
        <v>2</v>
      </c>
    </row>
    <row r="17" spans="1:4" x14ac:dyDescent="0.3">
      <c r="A17" t="s">
        <v>155</v>
      </c>
      <c r="D17" s="227">
        <v>2.5</v>
      </c>
    </row>
    <row r="18" spans="1:4" x14ac:dyDescent="0.3">
      <c r="A18" t="s">
        <v>11</v>
      </c>
      <c r="D18" s="227">
        <v>3</v>
      </c>
    </row>
    <row r="19" spans="1:4" x14ac:dyDescent="0.3">
      <c r="A19" t="s">
        <v>186</v>
      </c>
      <c r="D19" s="227">
        <v>3.5</v>
      </c>
    </row>
    <row r="20" spans="1:4" x14ac:dyDescent="0.3">
      <c r="D20" s="227">
        <v>4</v>
      </c>
    </row>
    <row r="21" spans="1:4" x14ac:dyDescent="0.3">
      <c r="D21" s="227">
        <v>4.5</v>
      </c>
    </row>
    <row r="22" spans="1:4" x14ac:dyDescent="0.3">
      <c r="A22" t="s">
        <v>173</v>
      </c>
      <c r="D22" s="227">
        <v>5</v>
      </c>
    </row>
    <row r="23" spans="1:4" x14ac:dyDescent="0.3">
      <c r="A23" t="s">
        <v>174</v>
      </c>
      <c r="D23" s="227">
        <v>5.5</v>
      </c>
    </row>
    <row r="24" spans="1:4" x14ac:dyDescent="0.3">
      <c r="A24" t="s">
        <v>175</v>
      </c>
      <c r="D24" s="227">
        <v>6</v>
      </c>
    </row>
    <row r="25" spans="1:4" x14ac:dyDescent="0.3">
      <c r="D25" s="227">
        <v>6.5</v>
      </c>
    </row>
    <row r="26" spans="1:4" x14ac:dyDescent="0.3">
      <c r="A26" t="s">
        <v>177</v>
      </c>
      <c r="D26" s="227">
        <v>7</v>
      </c>
    </row>
    <row r="27" spans="1:4" x14ac:dyDescent="0.3">
      <c r="A27" t="s">
        <v>174</v>
      </c>
      <c r="D27" s="227">
        <v>7.5</v>
      </c>
    </row>
    <row r="28" spans="1:4" x14ac:dyDescent="0.3">
      <c r="A28" t="s">
        <v>175</v>
      </c>
      <c r="D28" s="227">
        <v>8</v>
      </c>
    </row>
    <row r="29" spans="1:4" x14ac:dyDescent="0.3">
      <c r="D29" s="227">
        <v>8.5</v>
      </c>
    </row>
    <row r="30" spans="1:4" x14ac:dyDescent="0.3">
      <c r="D30" s="227">
        <v>9</v>
      </c>
    </row>
    <row r="31" spans="1:4" ht="15.6" x14ac:dyDescent="0.35">
      <c r="A31" t="s">
        <v>214</v>
      </c>
      <c r="B31" t="s">
        <v>156</v>
      </c>
      <c r="D31" s="227">
        <v>9.5</v>
      </c>
    </row>
    <row r="32" spans="1:4" x14ac:dyDescent="0.3">
      <c r="A32" t="s">
        <v>499</v>
      </c>
      <c r="B32" s="18">
        <v>1.6</v>
      </c>
      <c r="C32" t="s">
        <v>187</v>
      </c>
      <c r="D32" s="227">
        <v>10</v>
      </c>
    </row>
    <row r="33" spans="1:3" x14ac:dyDescent="0.3">
      <c r="A33" t="s">
        <v>500</v>
      </c>
      <c r="B33" s="18">
        <v>0.6</v>
      </c>
      <c r="C33" t="s">
        <v>187</v>
      </c>
    </row>
    <row r="34" spans="1:3" ht="72" x14ac:dyDescent="0.3">
      <c r="A34" s="7" t="s">
        <v>501</v>
      </c>
      <c r="B34" s="18">
        <v>0.4</v>
      </c>
      <c r="C34" t="s">
        <v>187</v>
      </c>
    </row>
    <row r="35" spans="1:3" ht="72" x14ac:dyDescent="0.3">
      <c r="A35" s="7" t="s">
        <v>502</v>
      </c>
      <c r="B35" s="18">
        <v>0.2</v>
      </c>
      <c r="C35" t="s">
        <v>187</v>
      </c>
    </row>
    <row r="36" spans="1:3" ht="57.6" x14ac:dyDescent="0.3">
      <c r="A36" s="7" t="s">
        <v>503</v>
      </c>
      <c r="B36" s="18">
        <v>0.1</v>
      </c>
      <c r="C36" t="s">
        <v>187</v>
      </c>
    </row>
    <row r="37" spans="1:3" ht="57.6" x14ac:dyDescent="0.3">
      <c r="A37" s="7" t="s">
        <v>504</v>
      </c>
      <c r="B37" s="18">
        <v>5.5E-2</v>
      </c>
      <c r="C37" t="s">
        <v>187</v>
      </c>
    </row>
    <row r="38" spans="1:3" ht="72" x14ac:dyDescent="0.3">
      <c r="A38" s="7" t="s">
        <v>505</v>
      </c>
      <c r="B38" s="18">
        <v>0.03</v>
      </c>
      <c r="C38" t="s">
        <v>187</v>
      </c>
    </row>
    <row r="39" spans="1:3" ht="57.6" x14ac:dyDescent="0.3">
      <c r="A39" s="7" t="s">
        <v>506</v>
      </c>
      <c r="B39" s="18">
        <v>2.3999999999999998E-3</v>
      </c>
      <c r="C39" t="s">
        <v>187</v>
      </c>
    </row>
    <row r="40" spans="1:3" x14ac:dyDescent="0.3">
      <c r="A40" t="s">
        <v>507</v>
      </c>
      <c r="B40" s="18">
        <v>2.0000000000000001E-4</v>
      </c>
      <c r="C40" t="s">
        <v>187</v>
      </c>
    </row>
    <row r="41" spans="1:3" x14ac:dyDescent="0.3">
      <c r="B41" s="5"/>
    </row>
  </sheetData>
  <hyperlinks>
    <hyperlink ref="G6" r:id="rId1" xr:uid="{1092C593-D45A-4B5A-8881-CFBB4BE49B42}"/>
    <hyperlink ref="A7" r:id="rId2" xr:uid="{D898DEBF-E97C-45FD-81E7-268F24630DF2}"/>
  </hyperlinks>
  <pageMargins left="0.7" right="0.7" top="0.78740157499999996" bottom="0.78740157499999996" header="0.3" footer="0.3"/>
  <pageSetup paperSize="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9A51-E8E8-49DB-A120-EF518B5965EC}">
  <dimension ref="A1:E13"/>
  <sheetViews>
    <sheetView zoomScaleNormal="100" workbookViewId="0">
      <selection activeCell="H8" sqref="H8"/>
    </sheetView>
  </sheetViews>
  <sheetFormatPr baseColWidth="10" defaultColWidth="10.77734375" defaultRowHeight="14.4" x14ac:dyDescent="0.3"/>
  <sheetData>
    <row r="1" spans="1:5" x14ac:dyDescent="0.3">
      <c r="A1" t="s">
        <v>16</v>
      </c>
      <c r="E1" s="2" t="s">
        <v>25</v>
      </c>
    </row>
    <row r="2" spans="1:5" x14ac:dyDescent="0.3">
      <c r="A2" t="s">
        <v>17</v>
      </c>
      <c r="B2" t="s">
        <v>18</v>
      </c>
      <c r="E2" t="s">
        <v>21</v>
      </c>
    </row>
    <row r="4" spans="1:5" x14ac:dyDescent="0.3">
      <c r="A4" t="s">
        <v>20</v>
      </c>
      <c r="B4" t="s">
        <v>19</v>
      </c>
    </row>
    <row r="6" spans="1:5" x14ac:dyDescent="0.3">
      <c r="A6" t="s">
        <v>22</v>
      </c>
      <c r="B6" t="s">
        <v>23</v>
      </c>
      <c r="E6" t="s">
        <v>24</v>
      </c>
    </row>
    <row r="11" spans="1:5" x14ac:dyDescent="0.3">
      <c r="D11" t="s">
        <v>27</v>
      </c>
      <c r="E11" t="s">
        <v>28</v>
      </c>
    </row>
    <row r="13" spans="1:5" x14ac:dyDescent="0.3">
      <c r="A13" t="s">
        <v>26</v>
      </c>
    </row>
  </sheetData>
  <hyperlinks>
    <hyperlink ref="E1" r:id="rId1" xr:uid="{94B92D7C-ECAA-4071-AE87-B7B4AAE143D9}"/>
  </hyperlinks>
  <pageMargins left="0.7" right="0.7" top="0.78740157499999996" bottom="0.78740157499999996"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FAE77-EAB7-488C-8AA9-E1621DC6E95A}">
  <dimension ref="A1:S47"/>
  <sheetViews>
    <sheetView showGridLines="0" zoomScaleNormal="100" workbookViewId="0">
      <selection activeCell="L7" sqref="L7"/>
    </sheetView>
  </sheetViews>
  <sheetFormatPr baseColWidth="10" defaultColWidth="10.77734375" defaultRowHeight="14.4" x14ac:dyDescent="0.3"/>
  <cols>
    <col min="3" max="3" width="10.77734375" customWidth="1"/>
  </cols>
  <sheetData>
    <row r="1" spans="1:19" ht="15" thickBot="1" x14ac:dyDescent="0.35">
      <c r="A1" s="239" t="s">
        <v>178</v>
      </c>
      <c r="B1" s="240"/>
      <c r="C1" s="47"/>
      <c r="D1" s="241"/>
    </row>
    <row r="2" spans="1:19" ht="14.4" customHeight="1" x14ac:dyDescent="0.3">
      <c r="A2" s="361" t="s">
        <v>494</v>
      </c>
      <c r="B2" s="361"/>
      <c r="C2" s="361"/>
      <c r="D2" s="361"/>
      <c r="E2" s="361"/>
      <c r="F2" s="361"/>
      <c r="G2" s="361"/>
      <c r="H2" s="361"/>
      <c r="I2" s="361"/>
      <c r="J2" s="361"/>
    </row>
    <row r="3" spans="1:19" x14ac:dyDescent="0.3">
      <c r="A3" s="361"/>
      <c r="B3" s="361"/>
      <c r="C3" s="361"/>
      <c r="D3" s="361"/>
      <c r="E3" s="361"/>
      <c r="F3" s="361"/>
      <c r="G3" s="361"/>
      <c r="H3" s="361"/>
      <c r="I3" s="361"/>
      <c r="J3" s="361"/>
    </row>
    <row r="4" spans="1:19" x14ac:dyDescent="0.3">
      <c r="A4" s="361"/>
      <c r="B4" s="361"/>
      <c r="C4" s="361"/>
      <c r="D4" s="361"/>
      <c r="E4" s="361"/>
      <c r="F4" s="361"/>
      <c r="G4" s="361"/>
      <c r="H4" s="361"/>
      <c r="I4" s="361"/>
      <c r="J4" s="361"/>
    </row>
    <row r="5" spans="1:19" ht="14.4" customHeight="1" x14ac:dyDescent="0.3">
      <c r="A5" s="224" t="s">
        <v>319</v>
      </c>
      <c r="B5" s="242"/>
      <c r="C5" s="256" t="s">
        <v>179</v>
      </c>
      <c r="D5" s="257"/>
      <c r="E5" s="257"/>
      <c r="F5" s="257"/>
      <c r="G5" s="257"/>
      <c r="H5" s="257"/>
      <c r="I5" s="257"/>
      <c r="J5" s="257"/>
      <c r="K5" s="255" t="s">
        <v>320</v>
      </c>
      <c r="N5" s="270" t="s">
        <v>401</v>
      </c>
      <c r="O5" s="45"/>
      <c r="P5" s="45"/>
      <c r="Q5" s="45"/>
      <c r="R5" s="45"/>
      <c r="S5" s="45"/>
    </row>
    <row r="6" spans="1:19" ht="14.4" customHeight="1" x14ac:dyDescent="0.3">
      <c r="N6" s="360" t="s">
        <v>340</v>
      </c>
      <c r="O6" s="360"/>
      <c r="P6" s="360"/>
      <c r="Q6" s="360"/>
      <c r="R6" s="360"/>
      <c r="S6" s="45"/>
    </row>
    <row r="7" spans="1:19" x14ac:dyDescent="0.3">
      <c r="N7" s="360"/>
      <c r="O7" s="360"/>
      <c r="P7" s="360"/>
      <c r="Q7" s="360"/>
      <c r="R7" s="360"/>
      <c r="S7" s="45"/>
    </row>
    <row r="8" spans="1:19" ht="14.4" customHeight="1" x14ac:dyDescent="0.3">
      <c r="A8" s="361" t="s">
        <v>321</v>
      </c>
      <c r="B8" s="361"/>
      <c r="C8" s="361"/>
      <c r="D8" s="361"/>
      <c r="E8" s="361"/>
      <c r="F8" s="361"/>
      <c r="G8" s="361"/>
      <c r="H8" s="361"/>
      <c r="I8" s="361"/>
      <c r="J8" s="361"/>
      <c r="N8" s="360"/>
      <c r="O8" s="360"/>
      <c r="P8" s="360"/>
      <c r="Q8" s="360"/>
      <c r="R8" s="360"/>
      <c r="S8" s="45"/>
    </row>
    <row r="9" spans="1:19" x14ac:dyDescent="0.3">
      <c r="A9" s="361"/>
      <c r="B9" s="361"/>
      <c r="C9" s="361"/>
      <c r="D9" s="361"/>
      <c r="E9" s="361"/>
      <c r="F9" s="361"/>
      <c r="G9" s="361"/>
      <c r="H9" s="361"/>
      <c r="I9" s="361"/>
      <c r="J9" s="361"/>
      <c r="N9" s="267" t="s">
        <v>1</v>
      </c>
      <c r="O9" s="268"/>
      <c r="P9" s="268"/>
      <c r="Q9" s="268"/>
      <c r="R9" s="268"/>
      <c r="S9" s="45"/>
    </row>
    <row r="10" spans="1:19" x14ac:dyDescent="0.3">
      <c r="A10" s="361"/>
      <c r="B10" s="361"/>
      <c r="C10" s="361"/>
      <c r="D10" s="361"/>
      <c r="E10" s="361"/>
      <c r="F10" s="361"/>
      <c r="G10" s="361"/>
      <c r="H10" s="361"/>
      <c r="I10" s="361"/>
      <c r="J10" s="361"/>
      <c r="N10" s="269" t="s">
        <v>320</v>
      </c>
      <c r="O10" s="268"/>
      <c r="P10" s="268"/>
      <c r="Q10" s="268"/>
      <c r="R10" s="268"/>
      <c r="S10" s="45"/>
    </row>
    <row r="11" spans="1:19" x14ac:dyDescent="0.3">
      <c r="A11" s="361" t="s">
        <v>322</v>
      </c>
      <c r="B11" s="361"/>
      <c r="C11" s="361"/>
      <c r="D11" s="361"/>
      <c r="E11" s="361"/>
      <c r="F11" s="361"/>
      <c r="G11" s="361"/>
      <c r="H11" s="361"/>
      <c r="I11" s="361"/>
      <c r="J11" s="361"/>
      <c r="N11" s="284" t="s">
        <v>402</v>
      </c>
      <c r="O11" s="284"/>
      <c r="P11" s="284"/>
      <c r="Q11" s="284"/>
      <c r="R11" s="284"/>
      <c r="S11" s="284"/>
    </row>
    <row r="12" spans="1:19" x14ac:dyDescent="0.3">
      <c r="A12" s="361"/>
      <c r="B12" s="361"/>
      <c r="C12" s="361"/>
      <c r="D12" s="361"/>
      <c r="E12" s="361"/>
      <c r="F12" s="361"/>
      <c r="G12" s="361"/>
      <c r="H12" s="361"/>
      <c r="I12" s="361"/>
      <c r="J12" s="361"/>
    </row>
    <row r="13" spans="1:19" ht="14.4" customHeight="1" x14ac:dyDescent="0.3">
      <c r="A13" t="s">
        <v>323</v>
      </c>
      <c r="D13" s="362" t="s">
        <v>492</v>
      </c>
      <c r="E13" s="362"/>
      <c r="F13" s="362"/>
      <c r="G13" s="362"/>
      <c r="H13" s="362"/>
      <c r="I13" s="362"/>
      <c r="J13" s="362"/>
      <c r="K13" s="255" t="s">
        <v>493</v>
      </c>
    </row>
    <row r="14" spans="1:19" x14ac:dyDescent="0.3">
      <c r="D14" s="362"/>
      <c r="E14" s="362"/>
      <c r="F14" s="362"/>
      <c r="G14" s="362"/>
      <c r="H14" s="362"/>
      <c r="I14" s="362"/>
      <c r="J14" s="362"/>
      <c r="K14" s="255"/>
    </row>
    <row r="15" spans="1:19" x14ac:dyDescent="0.3">
      <c r="D15" s="258"/>
      <c r="E15" s="258"/>
      <c r="F15" s="258"/>
      <c r="G15" s="258"/>
      <c r="H15" s="258"/>
      <c r="I15" s="258"/>
      <c r="J15" s="258"/>
      <c r="K15" s="255"/>
    </row>
    <row r="47" spans="1:1" x14ac:dyDescent="0.3">
      <c r="A47" t="s">
        <v>526</v>
      </c>
    </row>
  </sheetData>
  <mergeCells count="5">
    <mergeCell ref="N6:R8"/>
    <mergeCell ref="A2:J4"/>
    <mergeCell ref="A8:J10"/>
    <mergeCell ref="A11:J12"/>
    <mergeCell ref="D13:J14"/>
  </mergeCells>
  <hyperlinks>
    <hyperlink ref="C5" r:id="rId1" location="buehneTop" xr:uid="{E628917A-3217-4746-86F7-AD0E3A485C21}"/>
    <hyperlink ref="N9" r:id="rId2" xr:uid="{B8D436B6-40E2-49D7-9EF3-9C2CFC9D81CB}"/>
    <hyperlink ref="D13" r:id="rId3" xr:uid="{30DE5F11-D982-45AC-88CA-AA39026A0325}"/>
  </hyperlinks>
  <pageMargins left="0.7" right="0.7" top="0.78740157499999996" bottom="0.78740157499999996"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FBC14-9CBB-447F-BED5-56FDB9B08998}">
  <dimension ref="A1:AF63"/>
  <sheetViews>
    <sheetView showGridLines="0" zoomScaleNormal="100" workbookViewId="0">
      <selection activeCell="J8" sqref="J8"/>
    </sheetView>
  </sheetViews>
  <sheetFormatPr baseColWidth="10" defaultColWidth="10.77734375" defaultRowHeight="14.4" x14ac:dyDescent="0.3"/>
  <cols>
    <col min="1" max="1" width="13.6640625" customWidth="1"/>
    <col min="2" max="2" width="12.88671875" customWidth="1"/>
    <col min="7" max="9" width="11" customWidth="1"/>
    <col min="16" max="16" width="9.5546875" bestFit="1" customWidth="1"/>
    <col min="17" max="18" width="12" hidden="1" customWidth="1"/>
    <col min="19" max="19" width="10.88671875" bestFit="1" customWidth="1"/>
    <col min="20" max="20" width="11.5546875" bestFit="1" customWidth="1"/>
    <col min="21" max="21" width="6" bestFit="1" customWidth="1"/>
    <col min="22" max="22" width="7" bestFit="1" customWidth="1"/>
    <col min="23" max="23" width="6" bestFit="1" customWidth="1"/>
    <col min="24" max="26" width="6.6640625" customWidth="1"/>
    <col min="27" max="27" width="11.5546875" hidden="1" customWidth="1"/>
    <col min="28" max="28" width="6" hidden="1" customWidth="1"/>
    <col min="29" max="29" width="7" hidden="1" customWidth="1"/>
    <col min="30" max="30" width="6" hidden="1" customWidth="1"/>
    <col min="31" max="31" width="4" hidden="1" customWidth="1"/>
    <col min="32" max="32" width="7" hidden="1" customWidth="1"/>
  </cols>
  <sheetData>
    <row r="1" spans="1:27" ht="14.4" customHeight="1" thickBot="1" x14ac:dyDescent="0.35">
      <c r="A1" s="339" t="s">
        <v>11</v>
      </c>
      <c r="B1" s="241"/>
    </row>
    <row r="2" spans="1:27" ht="14.4" customHeight="1" x14ac:dyDescent="0.3">
      <c r="A2" s="243"/>
      <c r="B2" s="236"/>
    </row>
    <row r="3" spans="1:27" x14ac:dyDescent="0.3">
      <c r="A3" s="244" t="s">
        <v>326</v>
      </c>
      <c r="K3" s="270" t="s">
        <v>329</v>
      </c>
      <c r="L3" s="45"/>
      <c r="M3" s="45"/>
      <c r="N3" s="45"/>
      <c r="O3" s="45"/>
      <c r="P3" s="45"/>
    </row>
    <row r="4" spans="1:27" ht="15" customHeight="1" thickBot="1" x14ac:dyDescent="0.35">
      <c r="A4" s="244"/>
      <c r="K4" s="360" t="s">
        <v>340</v>
      </c>
      <c r="L4" s="360"/>
      <c r="M4" s="360"/>
      <c r="N4" s="360"/>
      <c r="O4" s="360"/>
      <c r="P4" s="45"/>
    </row>
    <row r="5" spans="1:27" ht="15" thickBot="1" x14ac:dyDescent="0.35">
      <c r="A5" s="248" t="s">
        <v>331</v>
      </c>
      <c r="B5" s="249"/>
      <c r="C5" s="249"/>
      <c r="D5" s="249"/>
      <c r="E5" s="249"/>
      <c r="F5" s="249"/>
      <c r="G5" s="251" t="s">
        <v>327</v>
      </c>
      <c r="H5" s="250" t="s">
        <v>328</v>
      </c>
      <c r="K5" s="360"/>
      <c r="L5" s="360"/>
      <c r="M5" s="360"/>
      <c r="N5" s="360"/>
      <c r="O5" s="360"/>
      <c r="P5" s="45"/>
    </row>
    <row r="6" spans="1:27" x14ac:dyDescent="0.3">
      <c r="A6" s="116" t="s">
        <v>488</v>
      </c>
      <c r="B6" s="117"/>
      <c r="C6" s="117"/>
      <c r="D6" s="117"/>
      <c r="E6" s="117"/>
      <c r="F6" s="117"/>
      <c r="G6" s="263" t="s">
        <v>332</v>
      </c>
      <c r="H6" s="264"/>
      <c r="K6" s="360"/>
      <c r="L6" s="360"/>
      <c r="M6" s="360"/>
      <c r="N6" s="360"/>
      <c r="O6" s="360"/>
      <c r="P6" s="45"/>
    </row>
    <row r="7" spans="1:27" x14ac:dyDescent="0.3">
      <c r="A7" s="116" t="s">
        <v>525</v>
      </c>
      <c r="B7" s="117"/>
      <c r="C7" s="117"/>
      <c r="D7" s="117"/>
      <c r="E7" s="117"/>
      <c r="F7" s="117"/>
      <c r="G7" s="259" t="s">
        <v>332</v>
      </c>
      <c r="H7" s="260"/>
      <c r="K7" s="267" t="s">
        <v>1</v>
      </c>
      <c r="L7" s="268"/>
      <c r="M7" s="268"/>
      <c r="N7" s="268"/>
      <c r="O7" s="268"/>
      <c r="P7" s="45"/>
    </row>
    <row r="8" spans="1:27" x14ac:dyDescent="0.3">
      <c r="A8" s="116" t="s">
        <v>489</v>
      </c>
      <c r="B8" s="117"/>
      <c r="C8" s="117"/>
      <c r="D8" s="117"/>
      <c r="E8" s="117"/>
      <c r="F8" s="117"/>
      <c r="G8" s="259" t="s">
        <v>332</v>
      </c>
      <c r="H8" s="260"/>
      <c r="K8" s="269" t="s">
        <v>320</v>
      </c>
      <c r="L8" s="268"/>
      <c r="M8" s="268"/>
      <c r="N8" s="268"/>
      <c r="O8" s="268"/>
      <c r="P8" s="45"/>
    </row>
    <row r="9" spans="1:27" ht="15" thickBot="1" x14ac:dyDescent="0.35">
      <c r="A9" s="114" t="s">
        <v>490</v>
      </c>
      <c r="B9" s="115"/>
      <c r="C9" s="115"/>
      <c r="D9" s="115"/>
      <c r="E9" s="115"/>
      <c r="F9" s="115"/>
      <c r="G9" s="261" t="s">
        <v>332</v>
      </c>
      <c r="H9" s="262"/>
      <c r="K9" s="284" t="s">
        <v>402</v>
      </c>
      <c r="L9" s="284"/>
      <c r="M9" s="284"/>
      <c r="N9" s="284"/>
      <c r="O9" s="284"/>
      <c r="P9" s="284"/>
    </row>
    <row r="10" spans="1:27" x14ac:dyDescent="0.3">
      <c r="A10" s="252"/>
      <c r="B10" s="247"/>
      <c r="C10" s="247"/>
      <c r="D10" s="247"/>
      <c r="E10" s="247"/>
      <c r="F10" s="247"/>
      <c r="G10" s="247"/>
      <c r="H10" s="247"/>
    </row>
    <row r="11" spans="1:27" x14ac:dyDescent="0.3">
      <c r="A11" s="246" t="s">
        <v>329</v>
      </c>
      <c r="B11" s="245" t="s">
        <v>2</v>
      </c>
      <c r="C11" s="245"/>
      <c r="D11" s="245"/>
      <c r="E11" s="245"/>
      <c r="F11" s="245"/>
      <c r="G11" s="245"/>
      <c r="H11" s="247"/>
    </row>
    <row r="12" spans="1:27" x14ac:dyDescent="0.3">
      <c r="A12" s="253" t="s">
        <v>330</v>
      </c>
      <c r="B12" s="254"/>
      <c r="C12" s="256" t="s">
        <v>120</v>
      </c>
      <c r="M12" s="255" t="s">
        <v>521</v>
      </c>
    </row>
    <row r="13" spans="1:27" ht="15" thickBot="1" x14ac:dyDescent="0.35"/>
    <row r="14" spans="1:27" ht="15.6" x14ac:dyDescent="0.35">
      <c r="A14" s="43" t="s">
        <v>333</v>
      </c>
      <c r="B14" s="101"/>
      <c r="C14" s="41"/>
      <c r="D14" s="41"/>
      <c r="E14" s="266">
        <v>3</v>
      </c>
      <c r="F14" s="101" t="s">
        <v>187</v>
      </c>
      <c r="G14" s="41"/>
      <c r="H14" s="41" t="s">
        <v>334</v>
      </c>
      <c r="I14" s="41"/>
      <c r="J14" s="41"/>
      <c r="K14" s="41"/>
      <c r="L14" s="42"/>
    </row>
    <row r="15" spans="1:27" ht="15" thickBot="1" x14ac:dyDescent="0.35">
      <c r="A15" s="114" t="s">
        <v>290</v>
      </c>
      <c r="B15" s="115"/>
      <c r="C15" s="90"/>
      <c r="D15" s="265" t="s">
        <v>291</v>
      </c>
      <c r="E15" s="115">
        <f>(60/5*24*30)</f>
        <v>8640</v>
      </c>
      <c r="F15" s="115" t="s">
        <v>292</v>
      </c>
      <c r="G15" s="90"/>
      <c r="H15" s="90" t="s">
        <v>495</v>
      </c>
      <c r="I15" s="90"/>
      <c r="J15" s="90"/>
      <c r="K15" s="90"/>
      <c r="L15" s="91"/>
    </row>
    <row r="16" spans="1:27" x14ac:dyDescent="0.3">
      <c r="A16" s="14"/>
      <c r="B16" s="14"/>
      <c r="D16" s="23"/>
      <c r="E16" s="14"/>
      <c r="AA16" t="s">
        <v>294</v>
      </c>
    </row>
    <row r="17" spans="1:32" ht="15" thickBot="1" x14ac:dyDescent="0.35">
      <c r="A17" s="14"/>
      <c r="B17" s="14"/>
      <c r="D17" s="23"/>
      <c r="E17" s="14"/>
    </row>
    <row r="18" spans="1:32" ht="15" thickBot="1" x14ac:dyDescent="0.35">
      <c r="C18" s="25" t="s">
        <v>278</v>
      </c>
      <c r="D18" s="25" t="s">
        <v>279</v>
      </c>
      <c r="E18" s="25" t="s">
        <v>280</v>
      </c>
      <c r="F18" s="25" t="s">
        <v>281</v>
      </c>
      <c r="G18" s="25" t="s">
        <v>282</v>
      </c>
      <c r="H18" s="25" t="s">
        <v>283</v>
      </c>
      <c r="I18" s="25" t="s">
        <v>284</v>
      </c>
      <c r="J18" s="25" t="s">
        <v>285</v>
      </c>
      <c r="K18" s="25" t="s">
        <v>286</v>
      </c>
      <c r="L18" s="25" t="s">
        <v>287</v>
      </c>
      <c r="M18" s="25" t="s">
        <v>288</v>
      </c>
      <c r="N18" s="25" t="s">
        <v>289</v>
      </c>
      <c r="AC18" t="s">
        <v>293</v>
      </c>
    </row>
    <row r="19" spans="1:32" ht="88.2" thickBot="1" x14ac:dyDescent="0.35">
      <c r="A19" s="24" t="s">
        <v>66</v>
      </c>
      <c r="B19" s="25" t="s">
        <v>143</v>
      </c>
      <c r="C19" s="25" t="s">
        <v>67</v>
      </c>
      <c r="D19" s="25" t="s">
        <v>67</v>
      </c>
      <c r="E19" s="25" t="s">
        <v>67</v>
      </c>
      <c r="F19" s="25" t="s">
        <v>67</v>
      </c>
      <c r="G19" s="25" t="s">
        <v>67</v>
      </c>
      <c r="H19" s="25" t="s">
        <v>67</v>
      </c>
      <c r="I19" s="25" t="s">
        <v>67</v>
      </c>
      <c r="J19" s="25" t="s">
        <v>67</v>
      </c>
      <c r="K19" s="25" t="s">
        <v>67</v>
      </c>
      <c r="L19" s="25" t="s">
        <v>67</v>
      </c>
      <c r="M19" s="25" t="s">
        <v>67</v>
      </c>
      <c r="N19" s="25" t="s">
        <v>67</v>
      </c>
      <c r="O19" s="25" t="s">
        <v>67</v>
      </c>
      <c r="P19" s="25" t="s">
        <v>418</v>
      </c>
      <c r="Q19" s="25" t="s">
        <v>295</v>
      </c>
      <c r="S19" s="25" t="s">
        <v>222</v>
      </c>
      <c r="AF19">
        <f>8640*12</f>
        <v>103680</v>
      </c>
    </row>
    <row r="20" spans="1:32" ht="15" thickBot="1" x14ac:dyDescent="0.35">
      <c r="A20" s="182" t="s">
        <v>97</v>
      </c>
      <c r="B20" s="187">
        <v>0.25</v>
      </c>
      <c r="C20" s="67">
        <v>110</v>
      </c>
      <c r="D20" s="67">
        <v>110</v>
      </c>
      <c r="E20" s="67">
        <v>115</v>
      </c>
      <c r="F20" s="67">
        <v>120</v>
      </c>
      <c r="G20" s="67">
        <v>132</v>
      </c>
      <c r="H20" s="67">
        <v>130</v>
      </c>
      <c r="I20" s="67">
        <v>120</v>
      </c>
      <c r="J20" s="67">
        <v>120</v>
      </c>
      <c r="K20" s="67">
        <v>140</v>
      </c>
      <c r="L20" s="67">
        <v>130</v>
      </c>
      <c r="M20" s="67">
        <v>130</v>
      </c>
      <c r="N20" s="67">
        <v>130</v>
      </c>
      <c r="O20" s="176">
        <f>SUM(C20:N20)</f>
        <v>1487</v>
      </c>
      <c r="P20" s="173">
        <f>O20/$O$61</f>
        <v>1.4344282062412578E-2</v>
      </c>
      <c r="Q20">
        <f>PRODUCT(B20,P20)</f>
        <v>3.5860705156031446E-3</v>
      </c>
      <c r="R20">
        <f>O20/12</f>
        <v>123.91666666666667</v>
      </c>
      <c r="S20" s="22">
        <f>SUM(Q20:Q60)</f>
        <v>3.7232190228138724</v>
      </c>
      <c r="AA20" t="s">
        <v>97</v>
      </c>
      <c r="AB20">
        <v>0.25</v>
      </c>
      <c r="AC20" s="6">
        <v>1.40275792954243E-2</v>
      </c>
      <c r="AD20" s="185">
        <f>AC20*8640*12</f>
        <v>1454.3794213495914</v>
      </c>
      <c r="AE20" s="185">
        <f>AD20/12</f>
        <v>121.19828511246595</v>
      </c>
    </row>
    <row r="21" spans="1:32" x14ac:dyDescent="0.3">
      <c r="A21" s="183" t="s">
        <v>68</v>
      </c>
      <c r="B21" s="188">
        <v>0.75</v>
      </c>
      <c r="C21" s="68">
        <v>370</v>
      </c>
      <c r="D21" s="68">
        <v>380</v>
      </c>
      <c r="E21" s="68">
        <v>380</v>
      </c>
      <c r="F21" s="68">
        <v>385</v>
      </c>
      <c r="G21" s="68">
        <v>362</v>
      </c>
      <c r="H21" s="68">
        <v>400</v>
      </c>
      <c r="I21" s="68">
        <v>375</v>
      </c>
      <c r="J21" s="68">
        <v>320</v>
      </c>
      <c r="K21" s="68">
        <v>335</v>
      </c>
      <c r="L21" s="68">
        <v>355</v>
      </c>
      <c r="M21" s="68">
        <v>325</v>
      </c>
      <c r="N21" s="68">
        <v>270</v>
      </c>
      <c r="O21" s="177">
        <f t="shared" ref="O21:O60" si="0">SUM(C21:N21)</f>
        <v>4257</v>
      </c>
      <c r="P21" s="174">
        <f t="shared" ref="P21:P60" si="1">O21/$O$61</f>
        <v>4.106496889017508E-2</v>
      </c>
      <c r="Q21">
        <f t="shared" ref="Q21:Q60" si="2">PRODUCT(B21,P21)</f>
        <v>3.079872666763131E-2</v>
      </c>
      <c r="R21">
        <f t="shared" ref="R21:R60" si="3">O21/12</f>
        <v>354.75</v>
      </c>
      <c r="AA21" t="s">
        <v>68</v>
      </c>
      <c r="AB21">
        <v>0.75</v>
      </c>
      <c r="AC21" s="6">
        <v>4.0914460755883779E-2</v>
      </c>
      <c r="AD21" s="185">
        <f t="shared" ref="AD21:AD43" si="4">AC21*8640*12</f>
        <v>4242.0112911700298</v>
      </c>
      <c r="AE21" s="185">
        <f t="shared" ref="AE21:AE43" si="5">AD21/12</f>
        <v>353.50094093083584</v>
      </c>
    </row>
    <row r="22" spans="1:32" x14ac:dyDescent="0.3">
      <c r="A22" s="183" t="s">
        <v>69</v>
      </c>
      <c r="B22" s="188">
        <v>1.25</v>
      </c>
      <c r="C22" s="68">
        <v>535</v>
      </c>
      <c r="D22" s="68">
        <v>560</v>
      </c>
      <c r="E22" s="68">
        <v>555</v>
      </c>
      <c r="F22" s="68">
        <v>570</v>
      </c>
      <c r="G22" s="68">
        <v>565</v>
      </c>
      <c r="H22" s="68">
        <v>565</v>
      </c>
      <c r="I22" s="68">
        <v>565</v>
      </c>
      <c r="J22" s="68">
        <v>550</v>
      </c>
      <c r="K22" s="68">
        <v>550</v>
      </c>
      <c r="L22" s="68">
        <v>535</v>
      </c>
      <c r="M22" s="68">
        <v>535</v>
      </c>
      <c r="N22" s="68">
        <v>550</v>
      </c>
      <c r="O22" s="177">
        <f t="shared" si="0"/>
        <v>6635</v>
      </c>
      <c r="P22" s="174">
        <f t="shared" si="1"/>
        <v>6.4004244441228958E-2</v>
      </c>
      <c r="Q22">
        <f t="shared" si="2"/>
        <v>8.0005305551536204E-2</v>
      </c>
      <c r="R22">
        <f t="shared" si="3"/>
        <v>552.91666666666663</v>
      </c>
      <c r="AA22" t="s">
        <v>69</v>
      </c>
      <c r="AB22">
        <v>1.25</v>
      </c>
      <c r="AC22" s="6">
        <v>6.445717541814272E-2</v>
      </c>
      <c r="AD22" s="185">
        <f t="shared" si="4"/>
        <v>6682.9199473530371</v>
      </c>
      <c r="AE22" s="185">
        <f t="shared" si="5"/>
        <v>556.90999561275305</v>
      </c>
    </row>
    <row r="23" spans="1:32" x14ac:dyDescent="0.3">
      <c r="A23" s="183" t="s">
        <v>70</v>
      </c>
      <c r="B23" s="188">
        <v>1.75</v>
      </c>
      <c r="C23" s="68">
        <v>650</v>
      </c>
      <c r="D23" s="68">
        <v>650</v>
      </c>
      <c r="E23" s="68">
        <v>720</v>
      </c>
      <c r="F23" s="68">
        <v>743</v>
      </c>
      <c r="G23" s="68">
        <v>731</v>
      </c>
      <c r="H23" s="68">
        <v>800</v>
      </c>
      <c r="I23" s="68">
        <v>850</v>
      </c>
      <c r="J23" s="68">
        <v>720</v>
      </c>
      <c r="K23" s="68">
        <v>690</v>
      </c>
      <c r="L23" s="68">
        <v>695</v>
      </c>
      <c r="M23" s="68">
        <v>650</v>
      </c>
      <c r="N23" s="68">
        <v>670</v>
      </c>
      <c r="O23" s="177">
        <f t="shared" si="0"/>
        <v>8569</v>
      </c>
      <c r="P23" s="174">
        <f t="shared" si="1"/>
        <v>8.2660492933970001E-2</v>
      </c>
      <c r="Q23">
        <f t="shared" si="2"/>
        <v>0.14465586263444749</v>
      </c>
      <c r="R23">
        <f t="shared" si="3"/>
        <v>714.08333333333337</v>
      </c>
      <c r="AA23" t="s">
        <v>70</v>
      </c>
      <c r="AB23">
        <v>1.75</v>
      </c>
      <c r="AC23" s="6">
        <v>8.2931179008721295E-2</v>
      </c>
      <c r="AD23" s="185">
        <f t="shared" si="4"/>
        <v>8598.3046396242244</v>
      </c>
      <c r="AE23" s="185">
        <f t="shared" si="5"/>
        <v>716.52538663535199</v>
      </c>
    </row>
    <row r="24" spans="1:32" x14ac:dyDescent="0.3">
      <c r="A24" s="183" t="s">
        <v>71</v>
      </c>
      <c r="B24" s="188">
        <v>2.25</v>
      </c>
      <c r="C24" s="68">
        <v>820</v>
      </c>
      <c r="D24" s="68">
        <v>810</v>
      </c>
      <c r="E24" s="68">
        <v>800</v>
      </c>
      <c r="F24" s="68">
        <v>790</v>
      </c>
      <c r="G24" s="68">
        <v>830</v>
      </c>
      <c r="H24" s="68">
        <v>830</v>
      </c>
      <c r="I24" s="68">
        <v>830</v>
      </c>
      <c r="J24" s="68">
        <v>820</v>
      </c>
      <c r="K24" s="68">
        <v>810</v>
      </c>
      <c r="L24" s="68">
        <v>810</v>
      </c>
      <c r="M24" s="68">
        <v>810</v>
      </c>
      <c r="N24" s="68">
        <v>840</v>
      </c>
      <c r="O24" s="177">
        <f t="shared" si="0"/>
        <v>9800</v>
      </c>
      <c r="P24" s="174">
        <f t="shared" si="1"/>
        <v>9.4535281917715722E-2</v>
      </c>
      <c r="Q24">
        <f t="shared" si="2"/>
        <v>0.21270438431486038</v>
      </c>
      <c r="R24">
        <f t="shared" si="3"/>
        <v>816.66666666666663</v>
      </c>
      <c r="AA24" t="s">
        <v>71</v>
      </c>
      <c r="AB24">
        <v>2.25</v>
      </c>
      <c r="AC24" s="6">
        <v>9.5269456422521395E-2</v>
      </c>
      <c r="AD24" s="185">
        <f t="shared" si="4"/>
        <v>9877.5372418870174</v>
      </c>
      <c r="AE24" s="185">
        <f t="shared" si="5"/>
        <v>823.12810349058475</v>
      </c>
    </row>
    <row r="25" spans="1:32" x14ac:dyDescent="0.3">
      <c r="A25" s="183" t="s">
        <v>72</v>
      </c>
      <c r="B25" s="188">
        <v>2.75</v>
      </c>
      <c r="C25" s="68">
        <v>870</v>
      </c>
      <c r="D25" s="68">
        <v>870</v>
      </c>
      <c r="E25" s="68">
        <v>880</v>
      </c>
      <c r="F25" s="68">
        <v>870</v>
      </c>
      <c r="G25" s="68">
        <v>860</v>
      </c>
      <c r="H25" s="68">
        <v>860</v>
      </c>
      <c r="I25" s="68">
        <v>870</v>
      </c>
      <c r="J25" s="68">
        <v>870</v>
      </c>
      <c r="K25" s="68">
        <v>880</v>
      </c>
      <c r="L25" s="68">
        <v>890</v>
      </c>
      <c r="M25" s="68">
        <v>890</v>
      </c>
      <c r="N25" s="68">
        <v>905</v>
      </c>
      <c r="O25" s="177">
        <f t="shared" si="0"/>
        <v>10515</v>
      </c>
      <c r="P25" s="174">
        <f t="shared" si="1"/>
        <v>0.10143249891477354</v>
      </c>
      <c r="Q25">
        <f t="shared" si="2"/>
        <v>0.27893937201562724</v>
      </c>
      <c r="R25">
        <f t="shared" si="3"/>
        <v>876.25</v>
      </c>
      <c r="AA25" t="s">
        <v>72</v>
      </c>
      <c r="AB25">
        <v>2.75</v>
      </c>
      <c r="AC25" s="6">
        <v>0.10115051207465531</v>
      </c>
      <c r="AD25" s="185">
        <f t="shared" si="4"/>
        <v>10487.285091900261</v>
      </c>
      <c r="AE25" s="185">
        <f t="shared" si="5"/>
        <v>873.94042432502181</v>
      </c>
    </row>
    <row r="26" spans="1:32" x14ac:dyDescent="0.3">
      <c r="A26" s="183" t="s">
        <v>73</v>
      </c>
      <c r="B26" s="188">
        <v>3.25</v>
      </c>
      <c r="C26" s="68">
        <v>880</v>
      </c>
      <c r="D26" s="68">
        <v>880</v>
      </c>
      <c r="E26" s="68">
        <v>870</v>
      </c>
      <c r="F26" s="68">
        <v>870</v>
      </c>
      <c r="G26" s="68">
        <v>870</v>
      </c>
      <c r="H26" s="68">
        <v>870</v>
      </c>
      <c r="I26" s="68">
        <v>870</v>
      </c>
      <c r="J26" s="68">
        <v>880</v>
      </c>
      <c r="K26" s="68">
        <v>870</v>
      </c>
      <c r="L26" s="68">
        <v>870</v>
      </c>
      <c r="M26" s="68">
        <v>880</v>
      </c>
      <c r="N26" s="68">
        <v>880</v>
      </c>
      <c r="O26" s="177">
        <f t="shared" si="0"/>
        <v>10490</v>
      </c>
      <c r="P26" s="174">
        <f t="shared" si="1"/>
        <v>0.10119133748130998</v>
      </c>
      <c r="Q26">
        <f t="shared" si="2"/>
        <v>0.32887184681425746</v>
      </c>
      <c r="R26">
        <f t="shared" si="3"/>
        <v>874.16666666666663</v>
      </c>
      <c r="AA26" t="s">
        <v>73</v>
      </c>
      <c r="AB26">
        <v>3.25</v>
      </c>
      <c r="AC26" s="6">
        <v>0.10096150600508931</v>
      </c>
      <c r="AD26" s="185">
        <f t="shared" si="4"/>
        <v>10467.68894260766</v>
      </c>
      <c r="AE26" s="185">
        <f t="shared" si="5"/>
        <v>872.30741188397167</v>
      </c>
    </row>
    <row r="27" spans="1:32" x14ac:dyDescent="0.3">
      <c r="A27" s="183" t="s">
        <v>74</v>
      </c>
      <c r="B27" s="188">
        <v>3.75</v>
      </c>
      <c r="C27" s="68">
        <v>810</v>
      </c>
      <c r="D27" s="68">
        <v>850</v>
      </c>
      <c r="E27" s="68">
        <v>850</v>
      </c>
      <c r="F27" s="68">
        <v>820</v>
      </c>
      <c r="G27" s="68">
        <v>810</v>
      </c>
      <c r="H27" s="68">
        <v>820</v>
      </c>
      <c r="I27" s="68">
        <v>820</v>
      </c>
      <c r="J27" s="68">
        <v>820</v>
      </c>
      <c r="K27" s="68">
        <v>830</v>
      </c>
      <c r="L27" s="68">
        <v>850</v>
      </c>
      <c r="M27" s="68">
        <v>850</v>
      </c>
      <c r="N27" s="68">
        <v>810</v>
      </c>
      <c r="O27" s="177">
        <f t="shared" si="0"/>
        <v>9940</v>
      </c>
      <c r="P27" s="174">
        <f t="shared" si="1"/>
        <v>9.5885785945111657E-2</v>
      </c>
      <c r="Q27">
        <f t="shared" si="2"/>
        <v>0.35957169729416871</v>
      </c>
      <c r="R27">
        <f t="shared" si="3"/>
        <v>828.33333333333337</v>
      </c>
      <c r="AA27" t="s">
        <v>74</v>
      </c>
      <c r="AB27">
        <v>3.75</v>
      </c>
      <c r="AC27" s="6">
        <v>9.5656313313761426E-2</v>
      </c>
      <c r="AD27" s="185">
        <f t="shared" si="4"/>
        <v>9917.6465643707852</v>
      </c>
      <c r="AE27" s="185">
        <f t="shared" si="5"/>
        <v>826.47054703089873</v>
      </c>
    </row>
    <row r="28" spans="1:32" x14ac:dyDescent="0.3">
      <c r="A28" s="183" t="s">
        <v>76</v>
      </c>
      <c r="B28" s="188">
        <v>4.25</v>
      </c>
      <c r="C28" s="68">
        <v>756</v>
      </c>
      <c r="D28" s="68">
        <v>748</v>
      </c>
      <c r="E28" s="68">
        <v>748</v>
      </c>
      <c r="F28" s="68">
        <v>748</v>
      </c>
      <c r="G28" s="68">
        <v>730</v>
      </c>
      <c r="H28" s="68">
        <v>730</v>
      </c>
      <c r="I28" s="68">
        <v>748</v>
      </c>
      <c r="J28" s="68">
        <v>765</v>
      </c>
      <c r="K28" s="68">
        <v>760</v>
      </c>
      <c r="L28" s="68">
        <v>748</v>
      </c>
      <c r="M28" s="68">
        <v>748</v>
      </c>
      <c r="N28" s="68">
        <v>748</v>
      </c>
      <c r="O28" s="177">
        <f t="shared" si="0"/>
        <v>8977</v>
      </c>
      <c r="P28" s="174">
        <f t="shared" si="1"/>
        <v>8.6596247528095305E-2</v>
      </c>
      <c r="Q28">
        <f t="shared" si="2"/>
        <v>0.36803405199440503</v>
      </c>
      <c r="R28">
        <f t="shared" si="3"/>
        <v>748.08333333333337</v>
      </c>
      <c r="AA28" t="s">
        <v>76</v>
      </c>
      <c r="AB28">
        <v>4.25</v>
      </c>
      <c r="AC28" s="6">
        <v>8.654740633886307E-2</v>
      </c>
      <c r="AD28" s="185">
        <f t="shared" si="4"/>
        <v>8973.2350892133218</v>
      </c>
      <c r="AE28" s="185">
        <f t="shared" si="5"/>
        <v>747.76959076777678</v>
      </c>
    </row>
    <row r="29" spans="1:32" x14ac:dyDescent="0.3">
      <c r="A29" s="183" t="s">
        <v>75</v>
      </c>
      <c r="B29" s="188">
        <v>4.75</v>
      </c>
      <c r="C29" s="68">
        <v>665</v>
      </c>
      <c r="D29" s="68">
        <v>650</v>
      </c>
      <c r="E29" s="68">
        <v>640</v>
      </c>
      <c r="F29" s="68">
        <v>660</v>
      </c>
      <c r="G29" s="68">
        <v>660</v>
      </c>
      <c r="H29" s="68">
        <v>650</v>
      </c>
      <c r="I29" s="68">
        <v>640</v>
      </c>
      <c r="J29" s="68">
        <v>650</v>
      </c>
      <c r="K29" s="68">
        <v>645</v>
      </c>
      <c r="L29" s="68">
        <v>650</v>
      </c>
      <c r="M29" s="68">
        <v>655</v>
      </c>
      <c r="N29" s="68">
        <v>655</v>
      </c>
      <c r="O29" s="177">
        <f t="shared" si="0"/>
        <v>7820</v>
      </c>
      <c r="P29" s="174">
        <f t="shared" si="1"/>
        <v>7.5435296387401721E-2</v>
      </c>
      <c r="Q29">
        <f t="shared" si="2"/>
        <v>0.35831765784015818</v>
      </c>
      <c r="R29">
        <f t="shared" si="3"/>
        <v>651.66666666666663</v>
      </c>
      <c r="AA29" t="s">
        <v>75</v>
      </c>
      <c r="AB29">
        <v>4.75</v>
      </c>
      <c r="AC29" s="6">
        <v>7.507828402673046E-2</v>
      </c>
      <c r="AD29" s="185">
        <f t="shared" si="4"/>
        <v>7784.1164878914151</v>
      </c>
      <c r="AE29" s="185">
        <f t="shared" si="5"/>
        <v>648.67637399095122</v>
      </c>
    </row>
    <row r="30" spans="1:32" x14ac:dyDescent="0.3">
      <c r="A30" s="183" t="s">
        <v>77</v>
      </c>
      <c r="B30" s="188">
        <v>5.25</v>
      </c>
      <c r="C30" s="68">
        <v>570</v>
      </c>
      <c r="D30" s="68">
        <v>565</v>
      </c>
      <c r="E30" s="68">
        <v>550</v>
      </c>
      <c r="F30" s="68">
        <v>550</v>
      </c>
      <c r="G30" s="68">
        <v>550</v>
      </c>
      <c r="H30" s="68">
        <v>500</v>
      </c>
      <c r="I30" s="68">
        <v>500</v>
      </c>
      <c r="J30" s="68">
        <v>540</v>
      </c>
      <c r="K30" s="68">
        <v>550</v>
      </c>
      <c r="L30" s="68">
        <v>540</v>
      </c>
      <c r="M30" s="68">
        <v>565</v>
      </c>
      <c r="N30" s="68">
        <v>565</v>
      </c>
      <c r="O30" s="177">
        <f t="shared" si="0"/>
        <v>6545</v>
      </c>
      <c r="P30" s="174">
        <f t="shared" si="1"/>
        <v>6.3136063280760144E-2</v>
      </c>
      <c r="Q30">
        <f t="shared" si="2"/>
        <v>0.33146433222399074</v>
      </c>
      <c r="R30">
        <f t="shared" si="3"/>
        <v>545.41666666666663</v>
      </c>
      <c r="AA30" t="s">
        <v>77</v>
      </c>
      <c r="AB30">
        <v>5.25</v>
      </c>
      <c r="AC30" s="6">
        <v>6.2619338741501065E-2</v>
      </c>
      <c r="AD30" s="185">
        <f t="shared" si="4"/>
        <v>6492.3730407188305</v>
      </c>
      <c r="AE30" s="185">
        <f t="shared" si="5"/>
        <v>541.03108672656924</v>
      </c>
    </row>
    <row r="31" spans="1:32" x14ac:dyDescent="0.3">
      <c r="A31" s="183" t="s">
        <v>78</v>
      </c>
      <c r="B31" s="188">
        <v>5.75</v>
      </c>
      <c r="C31" s="68">
        <v>440</v>
      </c>
      <c r="D31" s="68">
        <v>440</v>
      </c>
      <c r="E31" s="68">
        <v>435</v>
      </c>
      <c r="F31" s="68">
        <v>435</v>
      </c>
      <c r="G31" s="68">
        <v>435</v>
      </c>
      <c r="H31" s="68">
        <v>420</v>
      </c>
      <c r="I31" s="68">
        <v>420</v>
      </c>
      <c r="J31" s="68">
        <v>435</v>
      </c>
      <c r="K31" s="68">
        <v>435</v>
      </c>
      <c r="L31" s="68">
        <v>435</v>
      </c>
      <c r="M31" s="68">
        <v>440</v>
      </c>
      <c r="N31" s="68">
        <v>440</v>
      </c>
      <c r="O31" s="177">
        <f t="shared" si="0"/>
        <v>5210</v>
      </c>
      <c r="P31" s="174">
        <f t="shared" si="1"/>
        <v>5.0258042733806012E-2</v>
      </c>
      <c r="Q31">
        <f t="shared" si="2"/>
        <v>0.28898374571938457</v>
      </c>
      <c r="R31">
        <f t="shared" si="3"/>
        <v>434.16666666666669</v>
      </c>
      <c r="AA31" t="s">
        <v>78</v>
      </c>
      <c r="AB31">
        <v>5.75</v>
      </c>
      <c r="AC31" s="6">
        <v>5.0317413475075436E-2</v>
      </c>
      <c r="AD31" s="185">
        <f t="shared" si="4"/>
        <v>5216.9094290958219</v>
      </c>
      <c r="AE31" s="185">
        <f t="shared" si="5"/>
        <v>434.74245242465184</v>
      </c>
    </row>
    <row r="32" spans="1:32" x14ac:dyDescent="0.3">
      <c r="A32" s="183" t="s">
        <v>79</v>
      </c>
      <c r="B32" s="188">
        <v>6.25</v>
      </c>
      <c r="C32" s="68">
        <v>337</v>
      </c>
      <c r="D32" s="68">
        <v>337</v>
      </c>
      <c r="E32" s="68">
        <v>337</v>
      </c>
      <c r="F32" s="68">
        <v>337</v>
      </c>
      <c r="G32" s="68">
        <v>337</v>
      </c>
      <c r="H32" s="68">
        <v>337</v>
      </c>
      <c r="I32" s="68">
        <v>330</v>
      </c>
      <c r="J32" s="68">
        <v>345</v>
      </c>
      <c r="K32" s="68">
        <v>340</v>
      </c>
      <c r="L32" s="68">
        <v>337</v>
      </c>
      <c r="M32" s="68">
        <v>337</v>
      </c>
      <c r="N32" s="68">
        <v>337</v>
      </c>
      <c r="O32" s="177">
        <f t="shared" si="0"/>
        <v>4048</v>
      </c>
      <c r="P32" s="174">
        <f t="shared" si="1"/>
        <v>3.9048859306419714E-2</v>
      </c>
      <c r="Q32">
        <f t="shared" si="2"/>
        <v>0.24405537066512323</v>
      </c>
      <c r="R32">
        <f t="shared" si="3"/>
        <v>337.33333333333331</v>
      </c>
      <c r="AA32" t="s">
        <v>79</v>
      </c>
      <c r="AB32">
        <v>6.25</v>
      </c>
      <c r="AC32" s="6">
        <v>3.901257491823034E-2</v>
      </c>
      <c r="AD32" s="185">
        <f t="shared" si="4"/>
        <v>4044.8237675221217</v>
      </c>
      <c r="AE32" s="185">
        <f t="shared" si="5"/>
        <v>337.06864729351014</v>
      </c>
    </row>
    <row r="33" spans="1:31" x14ac:dyDescent="0.3">
      <c r="A33" s="183" t="s">
        <v>80</v>
      </c>
      <c r="B33" s="188">
        <v>6.75</v>
      </c>
      <c r="C33" s="68">
        <v>252</v>
      </c>
      <c r="D33" s="68">
        <v>252</v>
      </c>
      <c r="E33" s="68">
        <v>252</v>
      </c>
      <c r="F33" s="68">
        <v>242</v>
      </c>
      <c r="G33" s="68">
        <v>252</v>
      </c>
      <c r="H33" s="68">
        <v>252</v>
      </c>
      <c r="I33" s="68">
        <v>245</v>
      </c>
      <c r="J33" s="68">
        <v>252</v>
      </c>
      <c r="K33" s="68">
        <v>257</v>
      </c>
      <c r="L33" s="68">
        <v>266</v>
      </c>
      <c r="M33" s="68">
        <v>252</v>
      </c>
      <c r="N33" s="68">
        <v>252</v>
      </c>
      <c r="O33" s="177">
        <f t="shared" si="0"/>
        <v>3026</v>
      </c>
      <c r="P33" s="174">
        <f t="shared" si="1"/>
        <v>2.9190179906429362E-2</v>
      </c>
      <c r="Q33">
        <f t="shared" si="2"/>
        <v>0.1970337143683982</v>
      </c>
      <c r="R33">
        <f t="shared" si="3"/>
        <v>252.16666666666666</v>
      </c>
      <c r="AA33" t="s">
        <v>80</v>
      </c>
      <c r="AB33">
        <v>6.75</v>
      </c>
      <c r="AC33" s="6">
        <v>2.9219672924107615E-2</v>
      </c>
      <c r="AD33" s="185">
        <f t="shared" si="4"/>
        <v>3029.4956887714775</v>
      </c>
      <c r="AE33" s="185">
        <f t="shared" si="5"/>
        <v>252.4579740642898</v>
      </c>
    </row>
    <row r="34" spans="1:31" x14ac:dyDescent="0.3">
      <c r="A34" s="183" t="s">
        <v>81</v>
      </c>
      <c r="B34" s="188">
        <v>7.25</v>
      </c>
      <c r="C34" s="68">
        <v>218</v>
      </c>
      <c r="D34" s="68">
        <v>184</v>
      </c>
      <c r="E34" s="68">
        <v>150</v>
      </c>
      <c r="F34" s="68">
        <v>178</v>
      </c>
      <c r="G34" s="68">
        <v>184</v>
      </c>
      <c r="H34" s="68">
        <v>184</v>
      </c>
      <c r="I34" s="68">
        <v>184</v>
      </c>
      <c r="J34" s="68">
        <v>184</v>
      </c>
      <c r="K34" s="68">
        <v>184</v>
      </c>
      <c r="L34" s="68">
        <v>184</v>
      </c>
      <c r="M34" s="68">
        <v>184</v>
      </c>
      <c r="N34" s="68">
        <v>184</v>
      </c>
      <c r="O34" s="177">
        <f t="shared" si="0"/>
        <v>2202</v>
      </c>
      <c r="P34" s="174">
        <f t="shared" si="1"/>
        <v>2.1241499059470408E-2</v>
      </c>
      <c r="Q34">
        <f t="shared" si="2"/>
        <v>0.15400086818116046</v>
      </c>
      <c r="R34">
        <f t="shared" si="3"/>
        <v>183.5</v>
      </c>
      <c r="AA34" t="s">
        <v>81</v>
      </c>
      <c r="AB34">
        <v>7.25</v>
      </c>
      <c r="AC34" s="6">
        <v>2.1160669669884773E-2</v>
      </c>
      <c r="AD34" s="185">
        <f t="shared" si="4"/>
        <v>2193.9382313736533</v>
      </c>
      <c r="AE34" s="185">
        <f t="shared" si="5"/>
        <v>182.82818594780443</v>
      </c>
    </row>
    <row r="35" spans="1:31" x14ac:dyDescent="0.3">
      <c r="A35" s="183" t="s">
        <v>82</v>
      </c>
      <c r="B35" s="188">
        <v>7.75</v>
      </c>
      <c r="C35" s="68">
        <v>128</v>
      </c>
      <c r="D35" s="68">
        <v>128</v>
      </c>
      <c r="E35" s="68">
        <v>155</v>
      </c>
      <c r="F35" s="68">
        <v>128</v>
      </c>
      <c r="G35" s="68">
        <v>128</v>
      </c>
      <c r="H35" s="68">
        <v>120</v>
      </c>
      <c r="I35" s="68">
        <v>100</v>
      </c>
      <c r="J35" s="68">
        <v>128</v>
      </c>
      <c r="K35" s="68">
        <v>130</v>
      </c>
      <c r="L35" s="68">
        <v>128</v>
      </c>
      <c r="M35" s="68">
        <v>155</v>
      </c>
      <c r="N35" s="68">
        <v>128</v>
      </c>
      <c r="O35" s="177">
        <f t="shared" si="0"/>
        <v>1556</v>
      </c>
      <c r="P35" s="174">
        <f t="shared" si="1"/>
        <v>1.5009887618772005E-2</v>
      </c>
      <c r="Q35">
        <f t="shared" si="2"/>
        <v>0.11632662904548305</v>
      </c>
      <c r="R35">
        <f t="shared" si="3"/>
        <v>129.66666666666666</v>
      </c>
      <c r="AA35" t="s">
        <v>82</v>
      </c>
      <c r="AB35">
        <v>7.75</v>
      </c>
      <c r="AC35" s="6">
        <v>1.4828109067201299E-2</v>
      </c>
      <c r="AD35" s="185">
        <f t="shared" si="4"/>
        <v>1537.3783480874308</v>
      </c>
      <c r="AE35" s="185">
        <f t="shared" si="5"/>
        <v>128.11486234061923</v>
      </c>
    </row>
    <row r="36" spans="1:31" x14ac:dyDescent="0.3">
      <c r="A36" s="183" t="s">
        <v>83</v>
      </c>
      <c r="B36" s="188">
        <v>8.25</v>
      </c>
      <c r="C36" s="68">
        <v>97</v>
      </c>
      <c r="D36" s="68">
        <v>90</v>
      </c>
      <c r="E36" s="68">
        <v>87</v>
      </c>
      <c r="F36" s="68">
        <v>87</v>
      </c>
      <c r="G36" s="68">
        <v>87</v>
      </c>
      <c r="H36" s="68">
        <v>67</v>
      </c>
      <c r="I36" s="68">
        <v>49</v>
      </c>
      <c r="J36" s="68">
        <v>87</v>
      </c>
      <c r="K36" s="68">
        <v>103</v>
      </c>
      <c r="L36" s="68">
        <v>87</v>
      </c>
      <c r="M36" s="68">
        <v>90</v>
      </c>
      <c r="N36" s="68">
        <v>110</v>
      </c>
      <c r="O36" s="177">
        <f t="shared" si="0"/>
        <v>1041</v>
      </c>
      <c r="P36" s="174">
        <f t="shared" si="1"/>
        <v>1.004196208942266E-2</v>
      </c>
      <c r="Q36">
        <f t="shared" si="2"/>
        <v>8.2846187237736943E-2</v>
      </c>
      <c r="R36">
        <f t="shared" si="3"/>
        <v>86.75</v>
      </c>
      <c r="AA36" t="s">
        <v>83</v>
      </c>
      <c r="AB36">
        <v>8.25</v>
      </c>
      <c r="AC36" s="6">
        <v>1.0060128557884008E-2</v>
      </c>
      <c r="AD36" s="185">
        <f t="shared" si="4"/>
        <v>1043.0341288814138</v>
      </c>
      <c r="AE36" s="185">
        <f t="shared" si="5"/>
        <v>86.919510740117815</v>
      </c>
    </row>
    <row r="37" spans="1:31" x14ac:dyDescent="0.3">
      <c r="A37" s="183" t="s">
        <v>84</v>
      </c>
      <c r="B37" s="188">
        <v>8.75</v>
      </c>
      <c r="C37" s="68">
        <v>55</v>
      </c>
      <c r="D37" s="68">
        <v>48</v>
      </c>
      <c r="E37" s="68">
        <v>48</v>
      </c>
      <c r="F37" s="68">
        <v>45</v>
      </c>
      <c r="G37" s="68">
        <v>48</v>
      </c>
      <c r="H37" s="68">
        <v>48</v>
      </c>
      <c r="I37" s="68">
        <v>48</v>
      </c>
      <c r="J37" s="68">
        <v>48</v>
      </c>
      <c r="K37" s="68">
        <v>50</v>
      </c>
      <c r="L37" s="68">
        <v>48</v>
      </c>
      <c r="M37" s="68">
        <v>48</v>
      </c>
      <c r="N37" s="68">
        <v>55</v>
      </c>
      <c r="O37" s="177">
        <f t="shared" si="0"/>
        <v>589</v>
      </c>
      <c r="P37" s="174">
        <f t="shared" si="1"/>
        <v>5.6817633724014858E-3</v>
      </c>
      <c r="Q37">
        <f t="shared" si="2"/>
        <v>4.9715429508513001E-2</v>
      </c>
      <c r="R37">
        <f t="shared" si="3"/>
        <v>49.083333333333336</v>
      </c>
      <c r="AA37" t="s">
        <v>84</v>
      </c>
      <c r="AB37">
        <v>8.75</v>
      </c>
      <c r="AC37" s="6">
        <v>6.6114389550212859E-3</v>
      </c>
      <c r="AD37" s="185">
        <f t="shared" si="4"/>
        <v>685.47399085660686</v>
      </c>
      <c r="AE37" s="185">
        <f t="shared" si="5"/>
        <v>57.122832571383903</v>
      </c>
    </row>
    <row r="38" spans="1:31" x14ac:dyDescent="0.3">
      <c r="A38" s="183" t="s">
        <v>85</v>
      </c>
      <c r="B38" s="188">
        <v>9.25</v>
      </c>
      <c r="C38" s="68">
        <v>25</v>
      </c>
      <c r="D38" s="68">
        <v>20</v>
      </c>
      <c r="E38" s="68">
        <v>25</v>
      </c>
      <c r="F38" s="68">
        <v>20</v>
      </c>
      <c r="G38" s="68">
        <v>30</v>
      </c>
      <c r="H38" s="68">
        <v>32</v>
      </c>
      <c r="I38" s="68">
        <v>40</v>
      </c>
      <c r="J38" s="68">
        <v>64</v>
      </c>
      <c r="K38" s="68">
        <v>26</v>
      </c>
      <c r="L38" s="68">
        <v>30</v>
      </c>
      <c r="M38" s="68">
        <v>30</v>
      </c>
      <c r="N38" s="68">
        <v>30</v>
      </c>
      <c r="O38" s="177">
        <f t="shared" si="0"/>
        <v>372</v>
      </c>
      <c r="P38" s="174">
        <f t="shared" si="1"/>
        <v>3.5884821299377802E-3</v>
      </c>
      <c r="Q38">
        <f t="shared" si="2"/>
        <v>3.3193459701924465E-2</v>
      </c>
      <c r="R38">
        <f t="shared" si="3"/>
        <v>31</v>
      </c>
      <c r="AA38" t="s">
        <v>85</v>
      </c>
      <c r="AB38">
        <v>9.25</v>
      </c>
      <c r="AC38" s="6">
        <v>4.2105698262708824E-3</v>
      </c>
      <c r="AD38" s="185">
        <f t="shared" si="4"/>
        <v>436.55187958776509</v>
      </c>
      <c r="AE38" s="185">
        <f t="shared" si="5"/>
        <v>36.379323298980424</v>
      </c>
    </row>
    <row r="39" spans="1:31" x14ac:dyDescent="0.3">
      <c r="A39" s="183" t="s">
        <v>86</v>
      </c>
      <c r="B39" s="188">
        <v>9.75</v>
      </c>
      <c r="C39" s="68">
        <v>18</v>
      </c>
      <c r="D39" s="68">
        <v>21</v>
      </c>
      <c r="E39" s="68">
        <v>18</v>
      </c>
      <c r="F39" s="68">
        <v>15</v>
      </c>
      <c r="G39" s="68">
        <v>16</v>
      </c>
      <c r="H39" s="68">
        <v>8</v>
      </c>
      <c r="I39" s="68">
        <v>15</v>
      </c>
      <c r="J39" s="68">
        <v>14</v>
      </c>
      <c r="K39" s="68">
        <v>16</v>
      </c>
      <c r="L39" s="68">
        <v>23</v>
      </c>
      <c r="M39" s="68">
        <v>25</v>
      </c>
      <c r="N39" s="68">
        <v>30</v>
      </c>
      <c r="O39" s="177">
        <f t="shared" si="0"/>
        <v>219</v>
      </c>
      <c r="P39" s="174">
        <f t="shared" si="1"/>
        <v>2.1125741571407898E-3</v>
      </c>
      <c r="Q39">
        <f t="shared" si="2"/>
        <v>2.0597598032122702E-2</v>
      </c>
      <c r="R39">
        <f t="shared" si="3"/>
        <v>18.25</v>
      </c>
      <c r="AA39" t="s">
        <v>86</v>
      </c>
      <c r="AB39">
        <v>9.75</v>
      </c>
      <c r="AC39" s="6">
        <v>2.5994879180146805E-3</v>
      </c>
      <c r="AD39" s="185">
        <f t="shared" si="4"/>
        <v>269.51490733976209</v>
      </c>
      <c r="AE39" s="185">
        <f t="shared" si="5"/>
        <v>22.459575611646841</v>
      </c>
    </row>
    <row r="40" spans="1:31" x14ac:dyDescent="0.3">
      <c r="A40" s="183" t="s">
        <v>87</v>
      </c>
      <c r="B40" s="188">
        <v>10.25</v>
      </c>
      <c r="C40" s="68">
        <v>14</v>
      </c>
      <c r="D40" s="68">
        <v>10</v>
      </c>
      <c r="E40" s="68">
        <v>12</v>
      </c>
      <c r="F40" s="68">
        <v>12</v>
      </c>
      <c r="G40" s="68">
        <v>10</v>
      </c>
      <c r="H40" s="68">
        <v>7</v>
      </c>
      <c r="I40" s="68">
        <v>10</v>
      </c>
      <c r="J40" s="68">
        <v>15</v>
      </c>
      <c r="K40" s="68">
        <v>15</v>
      </c>
      <c r="L40" s="68">
        <v>10</v>
      </c>
      <c r="M40" s="68">
        <v>12</v>
      </c>
      <c r="N40" s="68">
        <v>18</v>
      </c>
      <c r="O40" s="177">
        <f t="shared" si="0"/>
        <v>145</v>
      </c>
      <c r="P40" s="174">
        <f t="shared" si="1"/>
        <v>1.398736314088651E-3</v>
      </c>
      <c r="Q40">
        <f t="shared" si="2"/>
        <v>1.4337047219408672E-2</v>
      </c>
      <c r="R40">
        <f t="shared" si="3"/>
        <v>12.083333333333334</v>
      </c>
      <c r="AA40" t="s">
        <v>87</v>
      </c>
      <c r="AB40">
        <v>10.25</v>
      </c>
      <c r="AC40" s="6">
        <v>1.5561947429435946E-3</v>
      </c>
      <c r="AD40" s="185">
        <f t="shared" si="4"/>
        <v>161.34627094839189</v>
      </c>
      <c r="AE40" s="185">
        <f t="shared" si="5"/>
        <v>13.445522579032657</v>
      </c>
    </row>
    <row r="41" spans="1:31" x14ac:dyDescent="0.3">
      <c r="A41" s="183" t="s">
        <v>88</v>
      </c>
      <c r="B41" s="188">
        <v>10.75</v>
      </c>
      <c r="C41" s="68">
        <v>8</v>
      </c>
      <c r="D41" s="68">
        <v>5</v>
      </c>
      <c r="E41" s="68">
        <v>8</v>
      </c>
      <c r="F41" s="68">
        <v>6</v>
      </c>
      <c r="G41" s="68">
        <v>6</v>
      </c>
      <c r="H41" s="68">
        <v>4</v>
      </c>
      <c r="I41" s="68">
        <v>8</v>
      </c>
      <c r="J41" s="68">
        <v>4</v>
      </c>
      <c r="K41" s="68">
        <v>4</v>
      </c>
      <c r="L41" s="68">
        <v>8</v>
      </c>
      <c r="M41" s="68">
        <v>8</v>
      </c>
      <c r="N41" s="68">
        <v>15</v>
      </c>
      <c r="O41" s="177">
        <f t="shared" si="0"/>
        <v>84</v>
      </c>
      <c r="P41" s="174">
        <f t="shared" si="1"/>
        <v>8.103024164375633E-4</v>
      </c>
      <c r="Q41">
        <f t="shared" si="2"/>
        <v>8.7107509767038061E-3</v>
      </c>
      <c r="R41">
        <f t="shared" si="3"/>
        <v>7</v>
      </c>
      <c r="AA41" t="s">
        <v>88</v>
      </c>
      <c r="AB41">
        <v>10.75</v>
      </c>
      <c r="AC41" s="6">
        <v>9.0360427767328065E-4</v>
      </c>
      <c r="AD41" s="185">
        <f t="shared" si="4"/>
        <v>93.685691509165736</v>
      </c>
      <c r="AE41" s="185">
        <f t="shared" si="5"/>
        <v>7.8071409590971443</v>
      </c>
    </row>
    <row r="42" spans="1:31" x14ac:dyDescent="0.3">
      <c r="A42" s="183" t="s">
        <v>89</v>
      </c>
      <c r="B42" s="188">
        <v>11.25</v>
      </c>
      <c r="C42" s="68">
        <v>5</v>
      </c>
      <c r="D42" s="68">
        <v>3</v>
      </c>
      <c r="E42" s="68">
        <v>3</v>
      </c>
      <c r="F42" s="68">
        <v>4</v>
      </c>
      <c r="G42" s="68">
        <v>2</v>
      </c>
      <c r="H42" s="68">
        <v>2</v>
      </c>
      <c r="I42" s="68">
        <v>3</v>
      </c>
      <c r="J42" s="68">
        <v>3</v>
      </c>
      <c r="K42" s="68">
        <v>4</v>
      </c>
      <c r="L42" s="68">
        <v>5</v>
      </c>
      <c r="M42" s="68">
        <v>7</v>
      </c>
      <c r="N42" s="68">
        <v>9</v>
      </c>
      <c r="O42" s="177">
        <f t="shared" si="0"/>
        <v>50</v>
      </c>
      <c r="P42" s="174">
        <f t="shared" si="1"/>
        <v>4.82322866927121E-4</v>
      </c>
      <c r="Q42">
        <f t="shared" si="2"/>
        <v>5.4261322529301111E-3</v>
      </c>
      <c r="R42">
        <f t="shared" si="3"/>
        <v>4.166666666666667</v>
      </c>
      <c r="AA42" t="s">
        <v>89</v>
      </c>
      <c r="AB42">
        <v>11.25</v>
      </c>
      <c r="AC42" s="6">
        <v>5.090083613370765E-4</v>
      </c>
      <c r="AD42" s="185">
        <f t="shared" si="4"/>
        <v>52.773986903428096</v>
      </c>
      <c r="AE42" s="185">
        <f t="shared" si="5"/>
        <v>4.397832241952341</v>
      </c>
    </row>
    <row r="43" spans="1:31" x14ac:dyDescent="0.3">
      <c r="A43" s="183" t="s">
        <v>90</v>
      </c>
      <c r="B43" s="188">
        <v>11.75</v>
      </c>
      <c r="C43" s="68">
        <v>4</v>
      </c>
      <c r="D43" s="68">
        <v>2</v>
      </c>
      <c r="E43" s="68">
        <v>2</v>
      </c>
      <c r="F43" s="68">
        <v>2</v>
      </c>
      <c r="G43" s="68">
        <v>2</v>
      </c>
      <c r="H43" s="68">
        <v>2</v>
      </c>
      <c r="I43" s="68">
        <v>2</v>
      </c>
      <c r="J43" s="68">
        <v>2</v>
      </c>
      <c r="K43" s="68">
        <v>2</v>
      </c>
      <c r="L43" s="68">
        <v>3</v>
      </c>
      <c r="M43" s="68">
        <v>2</v>
      </c>
      <c r="N43" s="68">
        <v>3</v>
      </c>
      <c r="O43" s="177">
        <f t="shared" si="0"/>
        <v>28</v>
      </c>
      <c r="P43" s="174">
        <f t="shared" si="1"/>
        <v>2.7010080547918775E-4</v>
      </c>
      <c r="Q43">
        <f t="shared" si="2"/>
        <v>3.1736844643804559E-3</v>
      </c>
      <c r="R43">
        <f t="shared" si="3"/>
        <v>2.3333333333333335</v>
      </c>
      <c r="AA43" t="s">
        <v>90</v>
      </c>
      <c r="AB43">
        <v>11.75</v>
      </c>
      <c r="AC43" s="6">
        <v>2.7821829522493342E-4</v>
      </c>
      <c r="AD43" s="185">
        <f t="shared" si="4"/>
        <v>28.845672848921097</v>
      </c>
      <c r="AE43" s="185">
        <f t="shared" si="5"/>
        <v>2.4038060707434248</v>
      </c>
    </row>
    <row r="44" spans="1:31" x14ac:dyDescent="0.3">
      <c r="A44" s="183" t="s">
        <v>91</v>
      </c>
      <c r="B44" s="188">
        <v>12.25</v>
      </c>
      <c r="C44" s="68">
        <v>2</v>
      </c>
      <c r="D44" s="68">
        <v>1</v>
      </c>
      <c r="E44" s="68">
        <v>2</v>
      </c>
      <c r="F44" s="68">
        <v>2</v>
      </c>
      <c r="G44" s="68">
        <v>2</v>
      </c>
      <c r="H44" s="68">
        <v>2</v>
      </c>
      <c r="I44" s="68">
        <v>0</v>
      </c>
      <c r="J44" s="68">
        <v>3</v>
      </c>
      <c r="K44" s="68">
        <v>2</v>
      </c>
      <c r="L44" s="68">
        <v>3</v>
      </c>
      <c r="M44" s="68">
        <v>2</v>
      </c>
      <c r="N44" s="68">
        <v>2</v>
      </c>
      <c r="O44" s="177">
        <f t="shared" si="0"/>
        <v>23</v>
      </c>
      <c r="P44" s="174">
        <f t="shared" si="1"/>
        <v>2.2186851878647568E-4</v>
      </c>
      <c r="Q44">
        <f t="shared" si="2"/>
        <v>2.7178893551343271E-3</v>
      </c>
      <c r="R44">
        <f t="shared" si="3"/>
        <v>1.9166666666666667</v>
      </c>
    </row>
    <row r="45" spans="1:31" x14ac:dyDescent="0.3">
      <c r="A45" s="183" t="s">
        <v>92</v>
      </c>
      <c r="B45" s="188">
        <v>12.75</v>
      </c>
      <c r="C45" s="68">
        <v>1</v>
      </c>
      <c r="D45" s="68">
        <v>2</v>
      </c>
      <c r="E45" s="68">
        <v>0</v>
      </c>
      <c r="F45" s="68">
        <v>1</v>
      </c>
      <c r="G45" s="68">
        <v>0</v>
      </c>
      <c r="H45" s="68">
        <v>0</v>
      </c>
      <c r="I45" s="68">
        <v>1</v>
      </c>
      <c r="J45" s="68">
        <v>1</v>
      </c>
      <c r="K45" s="68">
        <v>5</v>
      </c>
      <c r="L45" s="68">
        <v>1</v>
      </c>
      <c r="M45" s="68">
        <v>0</v>
      </c>
      <c r="N45" s="68">
        <v>1</v>
      </c>
      <c r="O45" s="177">
        <f t="shared" si="0"/>
        <v>13</v>
      </c>
      <c r="P45" s="174">
        <f t="shared" si="1"/>
        <v>1.2540394540105148E-4</v>
      </c>
      <c r="Q45">
        <f t="shared" si="2"/>
        <v>1.5989003038634063E-3</v>
      </c>
      <c r="R45">
        <f t="shared" si="3"/>
        <v>1.0833333333333333</v>
      </c>
    </row>
    <row r="46" spans="1:31" x14ac:dyDescent="0.3">
      <c r="A46" s="183" t="s">
        <v>93</v>
      </c>
      <c r="B46" s="188">
        <v>13.25</v>
      </c>
      <c r="C46" s="68">
        <v>0</v>
      </c>
      <c r="D46" s="68">
        <v>1</v>
      </c>
      <c r="E46" s="68">
        <v>0</v>
      </c>
      <c r="F46" s="68">
        <v>0</v>
      </c>
      <c r="G46" s="68">
        <v>1</v>
      </c>
      <c r="H46" s="68">
        <v>0</v>
      </c>
      <c r="I46" s="68">
        <v>0</v>
      </c>
      <c r="J46" s="68">
        <v>0</v>
      </c>
      <c r="K46" s="68">
        <v>1</v>
      </c>
      <c r="L46" s="68">
        <v>0</v>
      </c>
      <c r="M46" s="68">
        <v>0</v>
      </c>
      <c r="N46" s="68">
        <v>2</v>
      </c>
      <c r="O46" s="177">
        <f t="shared" si="0"/>
        <v>5</v>
      </c>
      <c r="P46" s="174">
        <f t="shared" si="1"/>
        <v>4.82322866927121E-5</v>
      </c>
      <c r="Q46">
        <f t="shared" si="2"/>
        <v>6.3907779867843528E-4</v>
      </c>
      <c r="R46">
        <f t="shared" si="3"/>
        <v>0.41666666666666669</v>
      </c>
    </row>
    <row r="47" spans="1:31" x14ac:dyDescent="0.3">
      <c r="A47" s="183" t="s">
        <v>94</v>
      </c>
      <c r="B47" s="188">
        <v>13.75</v>
      </c>
      <c r="C47" s="68">
        <v>1</v>
      </c>
      <c r="D47" s="68">
        <v>1</v>
      </c>
      <c r="E47" s="68">
        <v>0</v>
      </c>
      <c r="F47" s="68">
        <v>0</v>
      </c>
      <c r="G47" s="68">
        <v>0</v>
      </c>
      <c r="H47" s="68">
        <v>0</v>
      </c>
      <c r="I47" s="68">
        <v>0</v>
      </c>
      <c r="J47" s="68">
        <v>0</v>
      </c>
      <c r="K47" s="68">
        <v>1</v>
      </c>
      <c r="L47" s="68">
        <v>0</v>
      </c>
      <c r="M47" s="68">
        <v>0</v>
      </c>
      <c r="N47" s="68">
        <v>1</v>
      </c>
      <c r="O47" s="177">
        <f t="shared" si="0"/>
        <v>4</v>
      </c>
      <c r="P47" s="174">
        <f t="shared" si="1"/>
        <v>3.8585829354169681E-5</v>
      </c>
      <c r="Q47">
        <f t="shared" si="2"/>
        <v>5.3055515361983315E-4</v>
      </c>
      <c r="R47">
        <f t="shared" si="3"/>
        <v>0.33333333333333331</v>
      </c>
    </row>
    <row r="48" spans="1:31" x14ac:dyDescent="0.3">
      <c r="A48" s="183" t="s">
        <v>95</v>
      </c>
      <c r="B48" s="188">
        <v>14.25</v>
      </c>
      <c r="C48" s="68">
        <v>0</v>
      </c>
      <c r="D48" s="68">
        <v>0</v>
      </c>
      <c r="E48" s="68">
        <v>0</v>
      </c>
      <c r="F48" s="68">
        <v>0</v>
      </c>
      <c r="G48" s="68">
        <v>0</v>
      </c>
      <c r="H48" s="68">
        <v>0</v>
      </c>
      <c r="I48" s="68">
        <v>0</v>
      </c>
      <c r="J48" s="68">
        <v>0</v>
      </c>
      <c r="K48" s="68">
        <v>0</v>
      </c>
      <c r="L48" s="68">
        <v>0</v>
      </c>
      <c r="M48" s="68">
        <v>0</v>
      </c>
      <c r="N48" s="68">
        <v>2</v>
      </c>
      <c r="O48" s="177">
        <f t="shared" si="0"/>
        <v>2</v>
      </c>
      <c r="P48" s="174">
        <f t="shared" si="1"/>
        <v>1.9292914677084841E-5</v>
      </c>
      <c r="Q48">
        <f t="shared" si="2"/>
        <v>2.7492403414845898E-4</v>
      </c>
      <c r="R48">
        <f t="shared" si="3"/>
        <v>0.16666666666666666</v>
      </c>
    </row>
    <row r="49" spans="1:18" x14ac:dyDescent="0.3">
      <c r="A49" s="183" t="s">
        <v>96</v>
      </c>
      <c r="B49" s="188">
        <v>14.75</v>
      </c>
      <c r="C49" s="68">
        <v>0</v>
      </c>
      <c r="D49" s="68">
        <v>0</v>
      </c>
      <c r="E49" s="68">
        <v>0</v>
      </c>
      <c r="F49" s="68">
        <v>0</v>
      </c>
      <c r="G49" s="68">
        <v>0</v>
      </c>
      <c r="H49" s="68">
        <v>0</v>
      </c>
      <c r="I49" s="68">
        <v>0</v>
      </c>
      <c r="J49" s="68">
        <v>0</v>
      </c>
      <c r="K49" s="68">
        <v>0</v>
      </c>
      <c r="L49" s="68">
        <v>0</v>
      </c>
      <c r="M49" s="68">
        <v>0</v>
      </c>
      <c r="N49" s="68">
        <v>1</v>
      </c>
      <c r="O49" s="177">
        <f t="shared" si="0"/>
        <v>1</v>
      </c>
      <c r="P49" s="174">
        <f t="shared" si="1"/>
        <v>9.6464573385424203E-6</v>
      </c>
      <c r="Q49">
        <f t="shared" si="2"/>
        <v>1.4228524574350069E-4</v>
      </c>
      <c r="R49">
        <f t="shared" si="3"/>
        <v>8.3333333333333329E-2</v>
      </c>
    </row>
    <row r="50" spans="1:18" x14ac:dyDescent="0.3">
      <c r="A50" s="183" t="s">
        <v>162</v>
      </c>
      <c r="B50" s="188">
        <v>15.25</v>
      </c>
      <c r="C50" s="68">
        <v>0</v>
      </c>
      <c r="D50" s="68">
        <v>1</v>
      </c>
      <c r="E50" s="68">
        <v>0</v>
      </c>
      <c r="F50" s="68">
        <v>0</v>
      </c>
      <c r="G50" s="68">
        <v>0</v>
      </c>
      <c r="H50" s="68">
        <v>0</v>
      </c>
      <c r="I50" s="68">
        <v>0</v>
      </c>
      <c r="J50" s="68">
        <v>0</v>
      </c>
      <c r="K50" s="68">
        <v>0</v>
      </c>
      <c r="L50" s="68">
        <v>0</v>
      </c>
      <c r="M50" s="68">
        <v>0</v>
      </c>
      <c r="N50" s="68">
        <v>2</v>
      </c>
      <c r="O50" s="177">
        <f t="shared" si="0"/>
        <v>3</v>
      </c>
      <c r="P50" s="174">
        <f t="shared" si="1"/>
        <v>2.8939372015627259E-5</v>
      </c>
      <c r="Q50">
        <f t="shared" si="2"/>
        <v>4.4132542323831571E-4</v>
      </c>
      <c r="R50">
        <f t="shared" si="3"/>
        <v>0.25</v>
      </c>
    </row>
    <row r="51" spans="1:18" x14ac:dyDescent="0.3">
      <c r="A51" s="183" t="s">
        <v>163</v>
      </c>
      <c r="B51" s="188">
        <v>15.75</v>
      </c>
      <c r="C51" s="68">
        <v>0</v>
      </c>
      <c r="D51" s="68">
        <v>1</v>
      </c>
      <c r="E51" s="68">
        <v>0</v>
      </c>
      <c r="F51" s="68">
        <v>0</v>
      </c>
      <c r="G51" s="68">
        <v>0</v>
      </c>
      <c r="H51" s="68">
        <v>0</v>
      </c>
      <c r="I51" s="68">
        <v>0</v>
      </c>
      <c r="J51" s="68">
        <v>0</v>
      </c>
      <c r="K51" s="68">
        <v>0</v>
      </c>
      <c r="L51" s="68">
        <v>0</v>
      </c>
      <c r="M51" s="68">
        <v>0</v>
      </c>
      <c r="N51" s="68">
        <v>1</v>
      </c>
      <c r="O51" s="177">
        <f t="shared" si="0"/>
        <v>2</v>
      </c>
      <c r="P51" s="174">
        <f t="shared" si="1"/>
        <v>1.9292914677084841E-5</v>
      </c>
      <c r="Q51">
        <f t="shared" si="2"/>
        <v>3.0386340616408622E-4</v>
      </c>
      <c r="R51">
        <f t="shared" si="3"/>
        <v>0.16666666666666666</v>
      </c>
    </row>
    <row r="52" spans="1:18" x14ac:dyDescent="0.3">
      <c r="A52" s="183" t="s">
        <v>164</v>
      </c>
      <c r="B52" s="188">
        <v>16.25</v>
      </c>
      <c r="C52" s="68">
        <v>0</v>
      </c>
      <c r="D52" s="68">
        <v>1</v>
      </c>
      <c r="E52" s="68">
        <v>0</v>
      </c>
      <c r="F52" s="68">
        <v>0</v>
      </c>
      <c r="G52" s="68">
        <v>0</v>
      </c>
      <c r="H52" s="68">
        <v>0</v>
      </c>
      <c r="I52" s="68">
        <v>0</v>
      </c>
      <c r="J52" s="68">
        <v>0</v>
      </c>
      <c r="K52" s="68">
        <v>0</v>
      </c>
      <c r="L52" s="68">
        <v>0</v>
      </c>
      <c r="M52" s="68">
        <v>0</v>
      </c>
      <c r="N52" s="68">
        <v>0</v>
      </c>
      <c r="O52" s="177">
        <f t="shared" si="0"/>
        <v>1</v>
      </c>
      <c r="P52" s="174">
        <f t="shared" si="1"/>
        <v>9.6464573385424203E-6</v>
      </c>
      <c r="Q52">
        <f t="shared" si="2"/>
        <v>1.5675493175131434E-4</v>
      </c>
      <c r="R52">
        <f t="shared" si="3"/>
        <v>8.3333333333333329E-2</v>
      </c>
    </row>
    <row r="53" spans="1:18" x14ac:dyDescent="0.3">
      <c r="A53" s="183" t="s">
        <v>165</v>
      </c>
      <c r="B53" s="188">
        <v>16.75</v>
      </c>
      <c r="C53" s="68">
        <v>0</v>
      </c>
      <c r="D53" s="68">
        <v>1</v>
      </c>
      <c r="E53" s="68">
        <v>0</v>
      </c>
      <c r="F53" s="68">
        <v>0</v>
      </c>
      <c r="G53" s="68">
        <v>0</v>
      </c>
      <c r="H53" s="68">
        <v>0</v>
      </c>
      <c r="I53" s="68">
        <v>0</v>
      </c>
      <c r="J53" s="68">
        <v>0</v>
      </c>
      <c r="K53" s="68">
        <v>0</v>
      </c>
      <c r="L53" s="68">
        <v>0</v>
      </c>
      <c r="M53" s="68">
        <v>0</v>
      </c>
      <c r="N53" s="68">
        <v>0</v>
      </c>
      <c r="O53" s="177">
        <f t="shared" si="0"/>
        <v>1</v>
      </c>
      <c r="P53" s="174">
        <f t="shared" si="1"/>
        <v>9.6464573385424203E-6</v>
      </c>
      <c r="Q53">
        <f t="shared" si="2"/>
        <v>1.6157816042058554E-4</v>
      </c>
      <c r="R53">
        <f t="shared" si="3"/>
        <v>8.3333333333333329E-2</v>
      </c>
    </row>
    <row r="54" spans="1:18" x14ac:dyDescent="0.3">
      <c r="A54" s="183" t="s">
        <v>166</v>
      </c>
      <c r="B54" s="188">
        <v>17.25</v>
      </c>
      <c r="C54" s="68">
        <v>0</v>
      </c>
      <c r="D54" s="68">
        <v>1</v>
      </c>
      <c r="E54" s="68">
        <v>0</v>
      </c>
      <c r="F54" s="68">
        <v>0</v>
      </c>
      <c r="G54" s="68">
        <v>0</v>
      </c>
      <c r="H54" s="68">
        <v>0</v>
      </c>
      <c r="I54" s="68">
        <v>0</v>
      </c>
      <c r="J54" s="68">
        <v>0</v>
      </c>
      <c r="K54" s="68">
        <v>0</v>
      </c>
      <c r="L54" s="68">
        <v>0</v>
      </c>
      <c r="M54" s="68">
        <v>0</v>
      </c>
      <c r="N54" s="68">
        <v>0</v>
      </c>
      <c r="O54" s="177">
        <f t="shared" si="0"/>
        <v>1</v>
      </c>
      <c r="P54" s="174">
        <f t="shared" si="1"/>
        <v>9.6464573385424203E-6</v>
      </c>
      <c r="Q54">
        <f t="shared" si="2"/>
        <v>1.6640138908985676E-4</v>
      </c>
      <c r="R54">
        <f t="shared" si="3"/>
        <v>8.3333333333333329E-2</v>
      </c>
    </row>
    <row r="55" spans="1:18" x14ac:dyDescent="0.3">
      <c r="A55" s="183" t="s">
        <v>167</v>
      </c>
      <c r="B55" s="188">
        <v>17.75</v>
      </c>
      <c r="C55" s="68">
        <v>0</v>
      </c>
      <c r="D55" s="68">
        <v>0</v>
      </c>
      <c r="E55" s="68">
        <v>0</v>
      </c>
      <c r="F55" s="68">
        <v>0</v>
      </c>
      <c r="G55" s="68">
        <v>0</v>
      </c>
      <c r="H55" s="68">
        <v>0</v>
      </c>
      <c r="I55" s="68">
        <v>0</v>
      </c>
      <c r="J55" s="68">
        <v>0</v>
      </c>
      <c r="K55" s="68">
        <v>0</v>
      </c>
      <c r="L55" s="68">
        <v>0</v>
      </c>
      <c r="M55" s="68">
        <v>0</v>
      </c>
      <c r="N55" s="68">
        <v>1</v>
      </c>
      <c r="O55" s="177">
        <f t="shared" si="0"/>
        <v>1</v>
      </c>
      <c r="P55" s="174">
        <f t="shared" si="1"/>
        <v>9.6464573385424203E-6</v>
      </c>
      <c r="Q55">
        <f t="shared" si="2"/>
        <v>1.7122461775912796E-4</v>
      </c>
      <c r="R55">
        <f t="shared" si="3"/>
        <v>8.3333333333333329E-2</v>
      </c>
    </row>
    <row r="56" spans="1:18" x14ac:dyDescent="0.3">
      <c r="A56" s="183" t="s">
        <v>168</v>
      </c>
      <c r="B56" s="188">
        <v>18.25</v>
      </c>
      <c r="C56" s="68">
        <v>0</v>
      </c>
      <c r="D56" s="68">
        <v>0</v>
      </c>
      <c r="E56" s="68">
        <v>0</v>
      </c>
      <c r="F56" s="68">
        <v>0</v>
      </c>
      <c r="G56" s="68">
        <v>0</v>
      </c>
      <c r="H56" s="68">
        <v>0</v>
      </c>
      <c r="I56" s="68">
        <v>0</v>
      </c>
      <c r="J56" s="68">
        <v>0</v>
      </c>
      <c r="K56" s="68">
        <v>0</v>
      </c>
      <c r="L56" s="68">
        <v>0</v>
      </c>
      <c r="M56" s="68">
        <v>0</v>
      </c>
      <c r="N56" s="68">
        <v>0</v>
      </c>
      <c r="O56" s="177">
        <f t="shared" si="0"/>
        <v>0</v>
      </c>
      <c r="P56" s="174">
        <f t="shared" si="1"/>
        <v>0</v>
      </c>
      <c r="Q56">
        <f t="shared" si="2"/>
        <v>0</v>
      </c>
      <c r="R56">
        <f t="shared" si="3"/>
        <v>0</v>
      </c>
    </row>
    <row r="57" spans="1:18" x14ac:dyDescent="0.3">
      <c r="A57" s="183" t="s">
        <v>169</v>
      </c>
      <c r="B57" s="188">
        <v>18.75</v>
      </c>
      <c r="C57" s="68">
        <v>0</v>
      </c>
      <c r="D57" s="68">
        <v>1</v>
      </c>
      <c r="E57" s="68">
        <v>0</v>
      </c>
      <c r="F57" s="68">
        <v>0</v>
      </c>
      <c r="G57" s="68">
        <v>0</v>
      </c>
      <c r="H57" s="68">
        <v>0</v>
      </c>
      <c r="I57" s="68">
        <v>0</v>
      </c>
      <c r="J57" s="68">
        <v>0</v>
      </c>
      <c r="K57" s="68">
        <v>0</v>
      </c>
      <c r="L57" s="68">
        <v>0</v>
      </c>
      <c r="M57" s="68">
        <v>0</v>
      </c>
      <c r="N57" s="68">
        <v>0</v>
      </c>
      <c r="O57" s="177">
        <f t="shared" si="0"/>
        <v>1</v>
      </c>
      <c r="P57" s="174">
        <f t="shared" si="1"/>
        <v>9.6464573385424203E-6</v>
      </c>
      <c r="Q57">
        <f t="shared" si="2"/>
        <v>1.8087107509767039E-4</v>
      </c>
      <c r="R57">
        <f t="shared" si="3"/>
        <v>8.3333333333333329E-2</v>
      </c>
    </row>
    <row r="58" spans="1:18" x14ac:dyDescent="0.3">
      <c r="A58" s="183" t="s">
        <v>170</v>
      </c>
      <c r="B58" s="188">
        <v>19.25</v>
      </c>
      <c r="C58" s="68">
        <v>0</v>
      </c>
      <c r="D58" s="68">
        <v>0</v>
      </c>
      <c r="E58" s="68">
        <v>0</v>
      </c>
      <c r="F58" s="68">
        <v>0</v>
      </c>
      <c r="G58" s="68">
        <v>0</v>
      </c>
      <c r="H58" s="68">
        <v>0</v>
      </c>
      <c r="I58" s="68">
        <v>0</v>
      </c>
      <c r="J58" s="68">
        <v>0</v>
      </c>
      <c r="K58" s="68">
        <v>0</v>
      </c>
      <c r="L58" s="68">
        <v>0</v>
      </c>
      <c r="M58" s="68">
        <v>0</v>
      </c>
      <c r="N58" s="68">
        <v>0</v>
      </c>
      <c r="O58" s="177">
        <f t="shared" si="0"/>
        <v>0</v>
      </c>
      <c r="P58" s="174">
        <f t="shared" si="1"/>
        <v>0</v>
      </c>
      <c r="Q58">
        <f t="shared" si="2"/>
        <v>0</v>
      </c>
      <c r="R58">
        <f t="shared" si="3"/>
        <v>0</v>
      </c>
    </row>
    <row r="59" spans="1:18" x14ac:dyDescent="0.3">
      <c r="A59" s="183" t="s">
        <v>171</v>
      </c>
      <c r="B59" s="188">
        <v>19.75</v>
      </c>
      <c r="C59" s="68">
        <v>0</v>
      </c>
      <c r="D59" s="68">
        <v>1</v>
      </c>
      <c r="E59" s="68">
        <v>0</v>
      </c>
      <c r="F59" s="68">
        <v>0</v>
      </c>
      <c r="G59" s="68">
        <v>0</v>
      </c>
      <c r="H59" s="68">
        <v>0</v>
      </c>
      <c r="I59" s="68">
        <v>0</v>
      </c>
      <c r="J59" s="68">
        <v>0</v>
      </c>
      <c r="K59" s="68">
        <v>0</v>
      </c>
      <c r="L59" s="68">
        <v>0</v>
      </c>
      <c r="M59" s="68">
        <v>0</v>
      </c>
      <c r="N59" s="68">
        <v>0</v>
      </c>
      <c r="O59" s="177">
        <f t="shared" si="0"/>
        <v>1</v>
      </c>
      <c r="P59" s="174">
        <f t="shared" si="1"/>
        <v>9.6464573385424203E-6</v>
      </c>
      <c r="Q59">
        <f t="shared" si="2"/>
        <v>1.9051753243621281E-4</v>
      </c>
      <c r="R59">
        <f t="shared" si="3"/>
        <v>8.3333333333333329E-2</v>
      </c>
    </row>
    <row r="60" spans="1:18" ht="15" thickBot="1" x14ac:dyDescent="0.35">
      <c r="A60" s="184" t="s">
        <v>172</v>
      </c>
      <c r="B60" s="189">
        <v>20</v>
      </c>
      <c r="C60" s="68">
        <v>0</v>
      </c>
      <c r="D60" s="68">
        <v>1</v>
      </c>
      <c r="E60" s="68">
        <v>0</v>
      </c>
      <c r="F60" s="68">
        <v>0</v>
      </c>
      <c r="G60" s="68">
        <v>0</v>
      </c>
      <c r="H60" s="68">
        <v>0</v>
      </c>
      <c r="I60" s="68">
        <v>0</v>
      </c>
      <c r="J60" s="68">
        <v>0</v>
      </c>
      <c r="K60" s="68">
        <v>0</v>
      </c>
      <c r="L60" s="68">
        <v>0</v>
      </c>
      <c r="M60" s="68">
        <v>0</v>
      </c>
      <c r="N60" s="68">
        <v>0</v>
      </c>
      <c r="O60" s="178">
        <f t="shared" si="0"/>
        <v>1</v>
      </c>
      <c r="P60" s="175">
        <f t="shared" si="1"/>
        <v>9.6464573385424203E-6</v>
      </c>
      <c r="Q60">
        <f t="shared" si="2"/>
        <v>1.929291467708484E-4</v>
      </c>
      <c r="R60">
        <f t="shared" si="3"/>
        <v>8.3333333333333329E-2</v>
      </c>
    </row>
    <row r="61" spans="1:18" ht="15" thickBot="1" x14ac:dyDescent="0.35">
      <c r="A61" s="179" t="s">
        <v>180</v>
      </c>
      <c r="B61" s="186"/>
      <c r="C61" s="180">
        <f t="shared" ref="C61:N61" si="6">SUM(C20:C60)</f>
        <v>8641</v>
      </c>
      <c r="D61" s="180">
        <f t="shared" si="6"/>
        <v>8626</v>
      </c>
      <c r="E61" s="180">
        <f t="shared" si="6"/>
        <v>8642</v>
      </c>
      <c r="F61" s="180">
        <f t="shared" si="6"/>
        <v>8640</v>
      </c>
      <c r="G61" s="180">
        <f t="shared" si="6"/>
        <v>8640</v>
      </c>
      <c r="H61" s="180">
        <f t="shared" si="6"/>
        <v>8640</v>
      </c>
      <c r="I61" s="180">
        <f t="shared" si="6"/>
        <v>8643</v>
      </c>
      <c r="J61" s="180">
        <f t="shared" si="6"/>
        <v>8640</v>
      </c>
      <c r="K61" s="180">
        <f t="shared" si="6"/>
        <v>8635</v>
      </c>
      <c r="L61" s="180">
        <f t="shared" si="6"/>
        <v>8641</v>
      </c>
      <c r="M61" s="180">
        <f t="shared" si="6"/>
        <v>8630</v>
      </c>
      <c r="N61" s="180">
        <f t="shared" si="6"/>
        <v>8647</v>
      </c>
      <c r="O61" s="180">
        <f>SUM(O20:O60)</f>
        <v>103665</v>
      </c>
      <c r="P61" s="181">
        <f>SUM(P20:P60)</f>
        <v>1</v>
      </c>
    </row>
    <row r="62" spans="1:18" hidden="1" x14ac:dyDescent="0.3">
      <c r="C62" s="172">
        <v>8640</v>
      </c>
      <c r="D62" s="172">
        <v>8640</v>
      </c>
      <c r="E62" s="172">
        <v>8640</v>
      </c>
      <c r="F62" s="172">
        <v>8640</v>
      </c>
      <c r="G62" s="172">
        <v>8640</v>
      </c>
      <c r="H62" s="172">
        <v>8640</v>
      </c>
      <c r="I62" s="172">
        <v>8640</v>
      </c>
      <c r="J62" s="172">
        <v>8640</v>
      </c>
      <c r="K62" s="172">
        <v>8640</v>
      </c>
      <c r="L62" s="172">
        <v>8640</v>
      </c>
      <c r="M62" s="172">
        <v>8640</v>
      </c>
      <c r="N62" s="172">
        <v>8640</v>
      </c>
      <c r="O62" s="190">
        <f>SUM(C62:N62)</f>
        <v>103680</v>
      </c>
      <c r="P62" s="105"/>
    </row>
    <row r="63" spans="1:18" hidden="1" x14ac:dyDescent="0.3">
      <c r="O63" s="190">
        <f>O62-O61</f>
        <v>15</v>
      </c>
    </row>
  </sheetData>
  <mergeCells count="1">
    <mergeCell ref="K4:O6"/>
  </mergeCells>
  <conditionalFormatting sqref="G6">
    <cfRule type="containsText" dxfId="9" priority="3" operator="containsText" text="X">
      <formula>NOT(ISERROR(SEARCH("X",G6)))</formula>
    </cfRule>
  </conditionalFormatting>
  <conditionalFormatting sqref="G7:G9">
    <cfRule type="containsText" dxfId="8" priority="2" operator="containsText" text="X">
      <formula>NOT(ISERROR(SEARCH("X",G7)))</formula>
    </cfRule>
  </conditionalFormatting>
  <conditionalFormatting sqref="H6:H9">
    <cfRule type="containsText" dxfId="7" priority="1" operator="containsText" text="X">
      <formula>NOT(ISERROR(SEARCH("X",H6)))</formula>
    </cfRule>
  </conditionalFormatting>
  <hyperlinks>
    <hyperlink ref="C12" r:id="rId1" xr:uid="{E83312E1-5D44-45E5-8A80-331684F3354B}"/>
    <hyperlink ref="K7" r:id="rId2" xr:uid="{97D7602E-D672-48BE-B6C8-8BFE0468ECD5}"/>
  </hyperlinks>
  <pageMargins left="0.7" right="0.7" top="0.78740157499999996" bottom="0.78740157499999996"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229F-4429-4941-B75E-FD3D96163541}">
  <dimension ref="A1:G13"/>
  <sheetViews>
    <sheetView showGridLines="0" workbookViewId="0">
      <selection activeCell="H10" sqref="H10"/>
    </sheetView>
  </sheetViews>
  <sheetFormatPr baseColWidth="10" defaultColWidth="10.77734375" defaultRowHeight="14.4" x14ac:dyDescent="0.3"/>
  <cols>
    <col min="1" max="1" width="22.5546875" customWidth="1"/>
    <col min="2" max="2" width="9.33203125" customWidth="1"/>
    <col min="3" max="3" width="13" bestFit="1" customWidth="1"/>
    <col min="4" max="4" width="7.109375" customWidth="1"/>
    <col min="5" max="5" width="47.44140625" customWidth="1"/>
    <col min="8" max="8" width="7.21875" customWidth="1"/>
  </cols>
  <sheetData>
    <row r="1" spans="1:7" ht="15" thickBot="1" x14ac:dyDescent="0.35">
      <c r="A1" s="61" t="s">
        <v>155</v>
      </c>
      <c r="B1" s="363" t="str">
        <f>'1_Cockpit'!C21</f>
        <v>Abschätzung über Weibullverteilung/Windkarte</v>
      </c>
      <c r="C1" s="364"/>
      <c r="D1" s="364"/>
      <c r="E1" s="365"/>
      <c r="F1" t="s">
        <v>341</v>
      </c>
    </row>
    <row r="3" spans="1:7" ht="15.6" x14ac:dyDescent="0.35">
      <c r="A3" s="328" t="s">
        <v>472</v>
      </c>
    </row>
    <row r="4" spans="1:7" ht="15" thickBot="1" x14ac:dyDescent="0.35"/>
    <row r="5" spans="1:7" ht="15" thickBot="1" x14ac:dyDescent="0.35">
      <c r="A5" s="211" t="s">
        <v>217</v>
      </c>
      <c r="B5" s="170" t="s">
        <v>220</v>
      </c>
      <c r="C5" s="170" t="s">
        <v>221</v>
      </c>
      <c r="D5" s="170" t="s">
        <v>218</v>
      </c>
      <c r="E5" s="156" t="s">
        <v>219</v>
      </c>
    </row>
    <row r="6" spans="1:7" ht="43.8" thickBot="1" x14ac:dyDescent="0.35">
      <c r="A6" s="219" t="s">
        <v>216</v>
      </c>
      <c r="B6" s="63" t="s">
        <v>307</v>
      </c>
      <c r="C6" s="220">
        <f>'3_Checkliste_Windmessung'!S20</f>
        <v>3.7232190228138724</v>
      </c>
      <c r="D6" s="63" t="s">
        <v>188</v>
      </c>
      <c r="E6" s="221" t="s">
        <v>523</v>
      </c>
    </row>
    <row r="7" spans="1:7" ht="43.2" x14ac:dyDescent="0.3">
      <c r="A7" s="214" t="s">
        <v>190</v>
      </c>
      <c r="B7" s="215" t="s">
        <v>308</v>
      </c>
      <c r="C7" s="216">
        <f>'1_Cockpit'!C25</f>
        <v>4</v>
      </c>
      <c r="D7" s="215" t="s">
        <v>188</v>
      </c>
      <c r="E7" s="217" t="s">
        <v>522</v>
      </c>
      <c r="G7" s="224"/>
    </row>
    <row r="8" spans="1:7" ht="15" thickBot="1" x14ac:dyDescent="0.35">
      <c r="A8" s="27"/>
      <c r="B8" s="213"/>
      <c r="C8" s="213"/>
      <c r="D8" s="213"/>
      <c r="E8" s="218" t="s">
        <v>250</v>
      </c>
    </row>
    <row r="9" spans="1:7" ht="43.8" thickBot="1" x14ac:dyDescent="0.35">
      <c r="A9" s="219" t="s">
        <v>362</v>
      </c>
      <c r="B9" s="63" t="s">
        <v>156</v>
      </c>
      <c r="C9" s="222">
        <f>'1_Cockpit'!C23</f>
        <v>0.4</v>
      </c>
      <c r="D9" s="63" t="s">
        <v>187</v>
      </c>
      <c r="E9" s="223" t="str">
        <f>'1_Cockpit'!E23</f>
        <v>0,4000 m: Dörfer, Kleinstädte, landwirtschaftliches Gelände mit vielen oder hohen Hecken, Wäldern und sehr raues und unebenes Terrain (3)</v>
      </c>
    </row>
    <row r="10" spans="1:7" ht="43.8" thickBot="1" x14ac:dyDescent="0.35">
      <c r="A10" s="214" t="s">
        <v>157</v>
      </c>
      <c r="B10" s="215" t="s">
        <v>158</v>
      </c>
      <c r="C10" s="229">
        <f>IF(B1="Windmessung",'3_Checkliste_Windmessung'!E14,10)</f>
        <v>10</v>
      </c>
      <c r="D10" s="215" t="s">
        <v>187</v>
      </c>
      <c r="E10" s="217" t="s">
        <v>335</v>
      </c>
    </row>
    <row r="11" spans="1:7" ht="45" thickBot="1" x14ac:dyDescent="0.35">
      <c r="A11" s="230" t="s">
        <v>316</v>
      </c>
      <c r="B11" s="231" t="s">
        <v>317</v>
      </c>
      <c r="C11" s="232">
        <f>'1_Cockpit'!K23</f>
        <v>4</v>
      </c>
      <c r="D11" s="231" t="s">
        <v>188</v>
      </c>
      <c r="E11" s="234" t="str">
        <f>CONCATENATE("Basis der Winddaten: ",B1)</f>
        <v>Basis der Winddaten: Abschätzung über Weibullverteilung/Windkarte</v>
      </c>
    </row>
    <row r="12" spans="1:7" ht="16.2" thickBot="1" x14ac:dyDescent="0.35">
      <c r="A12" s="26" t="s">
        <v>159</v>
      </c>
      <c r="B12" s="135" t="s">
        <v>197</v>
      </c>
      <c r="C12" s="136">
        <f>'1_Cockpit'!H28</f>
        <v>12</v>
      </c>
      <c r="D12" s="135" t="s">
        <v>187</v>
      </c>
      <c r="E12" s="212" t="s">
        <v>189</v>
      </c>
    </row>
    <row r="13" spans="1:7" ht="45" thickBot="1" x14ac:dyDescent="0.35">
      <c r="A13" s="230" t="s">
        <v>336</v>
      </c>
      <c r="B13" s="231" t="s">
        <v>272</v>
      </c>
      <c r="C13" s="232">
        <f>C11*((LN(C12/C9))/((LN(C10/C9))))</f>
        <v>4.2265655051187574</v>
      </c>
      <c r="D13" s="231" t="s">
        <v>188</v>
      </c>
      <c r="E13" s="233" t="s">
        <v>315</v>
      </c>
    </row>
  </sheetData>
  <mergeCells count="1">
    <mergeCell ref="B1:E1"/>
  </mergeCells>
  <hyperlinks>
    <hyperlink ref="E8" location="'2_Windkarte'!A1" display="Windkarte des DWD" xr:uid="{9380851B-71ED-4FBF-9115-EF82AA3128A9}"/>
    <hyperlink ref="A3" location="'7_Erläuterungen_Hinweise'!A36" display="Berechnung vW in Rotorhöhe mit Hilfe der logarithmischen Höhenformel" xr:uid="{894C9DDD-612F-4B2F-B4D1-36D15C96AAEC}"/>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73597-813D-4D4D-82C7-714CAAD456F7}">
  <dimension ref="A1:W111"/>
  <sheetViews>
    <sheetView showGridLines="0" zoomScale="90" zoomScaleNormal="90" workbookViewId="0">
      <selection activeCell="P69" sqref="P69"/>
    </sheetView>
  </sheetViews>
  <sheetFormatPr baseColWidth="10" defaultColWidth="10.77734375" defaultRowHeight="14.4" x14ac:dyDescent="0.3"/>
  <cols>
    <col min="1" max="1" width="29.77734375" customWidth="1"/>
    <col min="2" max="2" width="13.5546875" customWidth="1"/>
    <col min="3" max="3" width="15.5546875" customWidth="1"/>
    <col min="4" max="4" width="15.21875" customWidth="1"/>
    <col min="5" max="5" width="15.88671875" customWidth="1"/>
    <col min="6" max="6" width="18.5546875" customWidth="1"/>
    <col min="7" max="7" width="17" bestFit="1" customWidth="1"/>
    <col min="8" max="8" width="16.6640625" bestFit="1" customWidth="1"/>
    <col min="9" max="9" width="13.21875" customWidth="1"/>
    <col min="10" max="10" width="16.21875" customWidth="1"/>
    <col min="11" max="11" width="12.5546875" customWidth="1"/>
    <col min="12" max="12" width="27" customWidth="1"/>
    <col min="13" max="13" width="13" customWidth="1"/>
    <col min="14" max="14" width="12.21875" customWidth="1"/>
    <col min="15" max="16" width="12.88671875" customWidth="1"/>
    <col min="17" max="17" width="13.88671875" customWidth="1"/>
    <col min="18" max="18" width="16.5546875" customWidth="1"/>
    <col min="20" max="20" width="14.88671875" customWidth="1"/>
  </cols>
  <sheetData>
    <row r="1" spans="1:12" ht="15" thickBot="1" x14ac:dyDescent="0.35">
      <c r="A1" s="61" t="s">
        <v>155</v>
      </c>
      <c r="B1" s="363" t="str">
        <f>'4_Windgeschwindigkeit Rotorhöhe'!B1</f>
        <v>Abschätzung über Weibullverteilung/Windkarte</v>
      </c>
      <c r="C1" s="364"/>
      <c r="D1" s="364"/>
      <c r="E1" s="365"/>
      <c r="F1" t="s">
        <v>341</v>
      </c>
    </row>
    <row r="2" spans="1:12" ht="15" thickBot="1" x14ac:dyDescent="0.35"/>
    <row r="3" spans="1:12" ht="30.6" customHeight="1" x14ac:dyDescent="0.3">
      <c r="A3" s="64" t="s">
        <v>191</v>
      </c>
      <c r="B3" s="170" t="str">
        <f>'1_Cockpit'!H23</f>
        <v>Sonkyo Energy
 3.5 KW</v>
      </c>
      <c r="C3" s="41"/>
      <c r="D3" s="42"/>
      <c r="E3" s="160" t="s">
        <v>263</v>
      </c>
      <c r="F3" s="101"/>
      <c r="G3" s="164" t="s">
        <v>272</v>
      </c>
      <c r="H3" s="168">
        <f>'4_Windgeschwindigkeit Rotorhöhe'!C13</f>
        <v>4.2265655051187574</v>
      </c>
      <c r="I3" s="156" t="s">
        <v>188</v>
      </c>
      <c r="K3" s="105"/>
    </row>
    <row r="4" spans="1:12" ht="30.6" customHeight="1" x14ac:dyDescent="0.3">
      <c r="A4" s="65" t="s">
        <v>192</v>
      </c>
      <c r="B4" s="159" t="s">
        <v>265</v>
      </c>
      <c r="C4" s="155">
        <f>'1_Cockpit'!H24</f>
        <v>3.5</v>
      </c>
      <c r="D4" s="149" t="s">
        <v>203</v>
      </c>
      <c r="E4" s="161" t="s">
        <v>296</v>
      </c>
      <c r="F4" s="117"/>
      <c r="G4" s="159" t="s">
        <v>297</v>
      </c>
      <c r="H4" s="191">
        <f>'1_Cockpit'!C27</f>
        <v>1</v>
      </c>
      <c r="I4" s="157"/>
    </row>
    <row r="5" spans="1:12" ht="30.6" customHeight="1" x14ac:dyDescent="0.3">
      <c r="A5" s="65" t="s">
        <v>204</v>
      </c>
      <c r="B5" s="159" t="s">
        <v>266</v>
      </c>
      <c r="C5" s="155">
        <f>'1_Cockpit'!H25</f>
        <v>12</v>
      </c>
      <c r="D5" s="149" t="s">
        <v>188</v>
      </c>
      <c r="E5" s="161" t="s">
        <v>244</v>
      </c>
      <c r="F5" s="117"/>
      <c r="G5" s="159" t="s">
        <v>145</v>
      </c>
      <c r="H5" s="167">
        <f>'1_Cockpit'!C28</f>
        <v>8760</v>
      </c>
      <c r="I5" s="157" t="s">
        <v>213</v>
      </c>
      <c r="K5" s="106"/>
    </row>
    <row r="6" spans="1:12" ht="30.6" customHeight="1" x14ac:dyDescent="0.3">
      <c r="A6" s="65" t="s">
        <v>206</v>
      </c>
      <c r="B6" s="159" t="s">
        <v>267</v>
      </c>
      <c r="C6" s="155">
        <f>'1_Cockpit'!H26</f>
        <v>3</v>
      </c>
      <c r="D6" s="149" t="s">
        <v>188</v>
      </c>
      <c r="E6" s="161" t="s">
        <v>199</v>
      </c>
      <c r="F6" s="117"/>
      <c r="G6" s="159" t="s">
        <v>29</v>
      </c>
      <c r="H6" s="167">
        <f>'1_Cockpit'!C29</f>
        <v>1.2250000000000001</v>
      </c>
      <c r="I6" s="157" t="s">
        <v>201</v>
      </c>
      <c r="K6" s="108"/>
    </row>
    <row r="7" spans="1:12" ht="30.6" customHeight="1" x14ac:dyDescent="0.3">
      <c r="A7" s="65" t="s">
        <v>352</v>
      </c>
      <c r="B7" s="159" t="s">
        <v>268</v>
      </c>
      <c r="C7" s="155">
        <f>'1_Cockpit'!H27</f>
        <v>30</v>
      </c>
      <c r="D7" s="149" t="s">
        <v>188</v>
      </c>
      <c r="E7" s="161" t="s">
        <v>245</v>
      </c>
      <c r="F7" s="117"/>
      <c r="G7" s="159" t="s">
        <v>273</v>
      </c>
      <c r="H7" s="167">
        <f>'1_Cockpit'!C30</f>
        <v>0.96499999999999997</v>
      </c>
      <c r="I7" s="157"/>
      <c r="K7" s="106"/>
    </row>
    <row r="8" spans="1:12" ht="30.6" customHeight="1" x14ac:dyDescent="0.3">
      <c r="A8" s="65" t="s">
        <v>193</v>
      </c>
      <c r="B8" s="159" t="s">
        <v>269</v>
      </c>
      <c r="C8" s="155">
        <f>'1_Cockpit'!H28</f>
        <v>12</v>
      </c>
      <c r="D8" s="149" t="s">
        <v>187</v>
      </c>
      <c r="E8" s="161" t="s">
        <v>247</v>
      </c>
      <c r="F8" s="117"/>
      <c r="G8" s="159" t="s">
        <v>274</v>
      </c>
      <c r="H8" s="167">
        <f>'1_Cockpit'!C31</f>
        <v>0.995</v>
      </c>
      <c r="I8" s="157"/>
      <c r="K8" s="107"/>
    </row>
    <row r="9" spans="1:12" ht="30.6" customHeight="1" x14ac:dyDescent="0.3">
      <c r="A9" s="65" t="s">
        <v>194</v>
      </c>
      <c r="B9" s="159" t="s">
        <v>270</v>
      </c>
      <c r="C9" s="155">
        <f>'1_Cockpit'!H29</f>
        <v>4</v>
      </c>
      <c r="D9" s="149" t="s">
        <v>187</v>
      </c>
      <c r="E9" s="161" t="s">
        <v>249</v>
      </c>
      <c r="F9" s="117"/>
      <c r="G9" s="159" t="s">
        <v>275</v>
      </c>
      <c r="H9" s="167">
        <f>IF('1_Cockpit'!C32="",1,'1_Cockpit'!C32)</f>
        <v>1</v>
      </c>
      <c r="I9" s="157"/>
      <c r="K9" s="107"/>
      <c r="L9" s="107"/>
    </row>
    <row r="10" spans="1:12" ht="30.6" customHeight="1" x14ac:dyDescent="0.3">
      <c r="A10" s="65" t="s">
        <v>403</v>
      </c>
      <c r="B10" s="159" t="s">
        <v>481</v>
      </c>
      <c r="C10" s="163">
        <f>'1_Cockpit'!H30</f>
        <v>12.566370614359172</v>
      </c>
      <c r="D10" s="149" t="s">
        <v>200</v>
      </c>
      <c r="E10" s="161" t="s">
        <v>248</v>
      </c>
      <c r="F10" s="117"/>
      <c r="G10" s="159" t="s">
        <v>276</v>
      </c>
      <c r="H10" s="207">
        <f>PRODUCT(H7:H9)</f>
        <v>0.960175</v>
      </c>
      <c r="I10" s="157"/>
      <c r="K10" s="105"/>
    </row>
    <row r="11" spans="1:12" ht="30.6" customHeight="1" x14ac:dyDescent="0.3">
      <c r="A11" s="65" t="s">
        <v>209</v>
      </c>
      <c r="B11" s="159" t="s">
        <v>271</v>
      </c>
      <c r="C11" s="155">
        <f>'1_Cockpit'!H31</f>
        <v>0.45</v>
      </c>
      <c r="D11" s="149"/>
      <c r="E11" s="161" t="s">
        <v>160</v>
      </c>
      <c r="F11" s="117"/>
      <c r="G11" s="159" t="s">
        <v>153</v>
      </c>
      <c r="H11" s="167">
        <f>'1_Cockpit'!C34</f>
        <v>2</v>
      </c>
      <c r="I11" s="157"/>
    </row>
    <row r="12" spans="1:12" ht="30.6" customHeight="1" thickBot="1" x14ac:dyDescent="0.35">
      <c r="A12" s="66"/>
      <c r="B12" s="165"/>
      <c r="C12" s="166"/>
      <c r="D12" s="153"/>
      <c r="E12" s="162" t="s">
        <v>161</v>
      </c>
      <c r="F12" s="115"/>
      <c r="G12" s="165" t="s">
        <v>152</v>
      </c>
      <c r="H12" s="169">
        <f>'1_Cockpit'!C35</f>
        <v>4.7691684643405274</v>
      </c>
      <c r="I12" s="158" t="s">
        <v>188</v>
      </c>
    </row>
    <row r="16" spans="1:12" ht="15" thickBot="1" x14ac:dyDescent="0.35">
      <c r="A16" s="14" t="s">
        <v>11</v>
      </c>
      <c r="L16" s="14" t="s">
        <v>185</v>
      </c>
    </row>
    <row r="17" spans="1:21" ht="187.8" thickBot="1" x14ac:dyDescent="0.35">
      <c r="A17" s="24" t="s">
        <v>66</v>
      </c>
      <c r="B17" s="25" t="s">
        <v>143</v>
      </c>
      <c r="C17" s="25" t="s">
        <v>67</v>
      </c>
      <c r="D17" s="25" t="s">
        <v>418</v>
      </c>
      <c r="E17" s="330" t="s">
        <v>479</v>
      </c>
      <c r="F17" s="331" t="s">
        <v>480</v>
      </c>
      <c r="G17" s="25" t="s">
        <v>300</v>
      </c>
      <c r="H17" s="25" t="s">
        <v>299</v>
      </c>
      <c r="I17" s="25" t="s">
        <v>303</v>
      </c>
      <c r="J17" s="25" t="s">
        <v>301</v>
      </c>
      <c r="L17" s="24" t="s">
        <v>66</v>
      </c>
      <c r="M17" s="25" t="s">
        <v>143</v>
      </c>
      <c r="N17" s="25" t="s">
        <v>419</v>
      </c>
      <c r="O17" s="25" t="s">
        <v>242</v>
      </c>
      <c r="P17" s="25" t="s">
        <v>298</v>
      </c>
      <c r="Q17" s="25" t="s">
        <v>300</v>
      </c>
      <c r="R17" s="25" t="s">
        <v>299</v>
      </c>
      <c r="S17" s="25" t="s">
        <v>303</v>
      </c>
      <c r="T17" s="25" t="s">
        <v>301</v>
      </c>
      <c r="U17" s="7"/>
    </row>
    <row r="18" spans="1:21" x14ac:dyDescent="0.3">
      <c r="A18" s="21" t="s">
        <v>97</v>
      </c>
      <c r="B18" s="30">
        <v>0.25</v>
      </c>
      <c r="C18" s="67">
        <f>'3_Checkliste_Windmessung'!O20</f>
        <v>1487</v>
      </c>
      <c r="D18" s="70">
        <f>'3_Checkliste_Windmessung'!P20</f>
        <v>1.4344282062412578E-2</v>
      </c>
      <c r="E18" s="32">
        <f t="shared" ref="E18:E58" si="0">0.5*$H$6*$C$10*(B18)^3</f>
        <v>0.12026409377023428</v>
      </c>
      <c r="F18" s="35">
        <f>(E18*D18*$H$5/1000)</f>
        <v>1.5111894247261122E-2</v>
      </c>
      <c r="G18" s="38">
        <f t="shared" ref="G18:G58" si="1">E18*$C$11</f>
        <v>5.4118842196605427E-2</v>
      </c>
      <c r="H18" s="293">
        <f>(D18*G18*$H$5/1000)*1/$H$4</f>
        <v>6.8003524112675044E-3</v>
      </c>
      <c r="I18" s="32">
        <f>IF(OR(B18&lt;$C$6,B18&gt;$C$7),0,IF(G18/1000&lt;$C$4,G18,$C$4*1000))</f>
        <v>0</v>
      </c>
      <c r="J18" s="295">
        <f>(D18*I18*$H$5/1000)*1/$H$4</f>
        <v>0</v>
      </c>
      <c r="L18" s="21" t="s">
        <v>97</v>
      </c>
      <c r="M18" s="30">
        <v>0.25</v>
      </c>
      <c r="N18" s="70">
        <f t="shared" ref="N18:N58" si="2">_xlfn.WEIBULL.DIST(M18,$H$11,$H$12,FALSE)/2</f>
        <v>1.096128073598689E-2</v>
      </c>
      <c r="O18" s="32">
        <f t="shared" ref="O18:O58" si="3">0.5*$H$6*$C$10*(M18)^3</f>
        <v>0.12026409377023428</v>
      </c>
      <c r="P18" s="35">
        <f t="shared" ref="P18:P58" si="4">O18*N18*$H$5/1000</f>
        <v>1.1547856809845408E-2</v>
      </c>
      <c r="Q18" s="32">
        <f t="shared" ref="Q18:Q58" si="5">O18*$C$11</f>
        <v>5.4118842196605427E-2</v>
      </c>
      <c r="R18" s="35">
        <f>(N18*Q18*$H$5/1000)*1/$H$4</f>
        <v>5.1965355644304342E-3</v>
      </c>
      <c r="S18" s="32">
        <f>IF(OR(M18&lt;$C$6,M18&gt;$C$7),0,IF(Q18/1000&lt;$C$4,Q18,$C$4*1000))</f>
        <v>0</v>
      </c>
      <c r="T18" s="35">
        <f>(N18*S18*$H$5/1000)*1/$H$4</f>
        <v>0</v>
      </c>
      <c r="U18" s="11"/>
    </row>
    <row r="19" spans="1:21" x14ac:dyDescent="0.3">
      <c r="A19" s="19" t="s">
        <v>68</v>
      </c>
      <c r="B19" s="31">
        <v>0.75</v>
      </c>
      <c r="C19" s="68">
        <f>'3_Checkliste_Windmessung'!O21</f>
        <v>4257</v>
      </c>
      <c r="D19" s="74">
        <f>'3_Checkliste_Windmessung'!P21</f>
        <v>4.106496889017508E-2</v>
      </c>
      <c r="E19" s="33">
        <f t="shared" si="0"/>
        <v>3.2471305317963255</v>
      </c>
      <c r="F19" s="36">
        <f t="shared" ref="F19:F58" si="6">(E19*D19*$H$5/1000)</f>
        <v>1.168087433010051</v>
      </c>
      <c r="G19" s="39">
        <f t="shared" si="1"/>
        <v>1.4612087393083466</v>
      </c>
      <c r="H19" s="291">
        <f t="shared" ref="H19:H58" si="7">(D19*G19*$H$5/1000)*1/$H$4</f>
        <v>0.52563934485452291</v>
      </c>
      <c r="I19" s="33">
        <f t="shared" ref="I19:I58" si="8">IF(OR(B19&lt;$C$6,B19&gt;$C$7),0,IF(G19/1000&lt;$C$4,G19,$C$4*1000))</f>
        <v>0</v>
      </c>
      <c r="J19" s="292">
        <f t="shared" ref="J19:J58" si="9">(D19*I19*$H$5/1000)*1/$H$4</f>
        <v>0</v>
      </c>
      <c r="L19" s="19" t="s">
        <v>68</v>
      </c>
      <c r="M19" s="31">
        <v>0.75</v>
      </c>
      <c r="N19" s="74">
        <f t="shared" si="2"/>
        <v>3.216884811353983E-2</v>
      </c>
      <c r="O19" s="33">
        <f t="shared" si="3"/>
        <v>3.2471305317963255</v>
      </c>
      <c r="P19" s="36">
        <f t="shared" si="4"/>
        <v>0.91503849220801781</v>
      </c>
      <c r="Q19" s="33">
        <f t="shared" si="5"/>
        <v>1.4612087393083466</v>
      </c>
      <c r="R19" s="36">
        <f t="shared" ref="R19:R58" si="10">(N19*Q19*$H$5/1000)*1/$H$4</f>
        <v>0.41176732149360806</v>
      </c>
      <c r="S19" s="33">
        <f t="shared" ref="S19:S58" si="11">IF(OR(M19&lt;$C$6,M19&gt;$C$7),0,IF(Q19/1000&lt;$C$4,Q19,$C$4*1000))</f>
        <v>0</v>
      </c>
      <c r="T19" s="36">
        <f t="shared" ref="T19:T58" si="12">(N19*S19*$H$5/1000)*1/$H$4</f>
        <v>0</v>
      </c>
      <c r="U19" s="11"/>
    </row>
    <row r="20" spans="1:21" x14ac:dyDescent="0.3">
      <c r="A20" s="19" t="s">
        <v>69</v>
      </c>
      <c r="B20" s="31">
        <v>1.25</v>
      </c>
      <c r="C20" s="68">
        <f>'3_Checkliste_Windmessung'!O22</f>
        <v>6635</v>
      </c>
      <c r="D20" s="74">
        <f>'3_Checkliste_Windmessung'!P22</f>
        <v>6.4004244441228958E-2</v>
      </c>
      <c r="E20" s="33">
        <f t="shared" si="0"/>
        <v>15.033011721279285</v>
      </c>
      <c r="F20" s="36">
        <f t="shared" si="6"/>
        <v>8.428666638414386</v>
      </c>
      <c r="G20" s="39">
        <f t="shared" si="1"/>
        <v>6.7648552745756785</v>
      </c>
      <c r="H20" s="291">
        <f t="shared" si="7"/>
        <v>3.7928999872864737</v>
      </c>
      <c r="I20" s="33">
        <f t="shared" si="8"/>
        <v>0</v>
      </c>
      <c r="J20" s="292">
        <f t="shared" si="9"/>
        <v>0</v>
      </c>
      <c r="L20" s="19" t="s">
        <v>69</v>
      </c>
      <c r="M20" s="31">
        <v>1.25</v>
      </c>
      <c r="N20" s="74">
        <f t="shared" si="2"/>
        <v>5.1308600501871707E-2</v>
      </c>
      <c r="O20" s="33">
        <f t="shared" si="3"/>
        <v>15.033011721279285</v>
      </c>
      <c r="P20" s="36">
        <f t="shared" si="4"/>
        <v>6.7567876644643645</v>
      </c>
      <c r="Q20" s="33">
        <f t="shared" si="5"/>
        <v>6.7648552745756785</v>
      </c>
      <c r="R20" s="36">
        <f t="shared" si="10"/>
        <v>3.040554449008964</v>
      </c>
      <c r="S20" s="33">
        <f t="shared" si="11"/>
        <v>0</v>
      </c>
      <c r="T20" s="36">
        <f t="shared" si="12"/>
        <v>0</v>
      </c>
      <c r="U20" s="11"/>
    </row>
    <row r="21" spans="1:21" x14ac:dyDescent="0.3">
      <c r="A21" s="19" t="s">
        <v>70</v>
      </c>
      <c r="B21" s="31">
        <v>1.75</v>
      </c>
      <c r="C21" s="68">
        <f>'3_Checkliste_Windmessung'!O23</f>
        <v>8569</v>
      </c>
      <c r="D21" s="74">
        <f>'3_Checkliste_Windmessung'!P23</f>
        <v>8.2660492933970001E-2</v>
      </c>
      <c r="E21" s="33">
        <f t="shared" si="0"/>
        <v>41.250584163190361</v>
      </c>
      <c r="F21" s="36">
        <f t="shared" si="6"/>
        <v>29.869792117713338</v>
      </c>
      <c r="G21" s="39">
        <f t="shared" si="1"/>
        <v>18.562762873435663</v>
      </c>
      <c r="H21" s="291">
        <f t="shared" si="7"/>
        <v>13.441406452971004</v>
      </c>
      <c r="I21" s="33">
        <f t="shared" si="8"/>
        <v>0</v>
      </c>
      <c r="J21" s="292">
        <f t="shared" si="9"/>
        <v>0</v>
      </c>
      <c r="L21" s="19" t="s">
        <v>70</v>
      </c>
      <c r="M21" s="31">
        <v>1.75</v>
      </c>
      <c r="N21" s="74">
        <f t="shared" si="2"/>
        <v>6.7247643198203477E-2</v>
      </c>
      <c r="O21" s="33">
        <f t="shared" si="3"/>
        <v>41.250584163190361</v>
      </c>
      <c r="P21" s="36">
        <f t="shared" si="4"/>
        <v>24.300279993987512</v>
      </c>
      <c r="Q21" s="33">
        <f t="shared" si="5"/>
        <v>18.562762873435663</v>
      </c>
      <c r="R21" s="36">
        <f t="shared" si="10"/>
        <v>10.93512599729438</v>
      </c>
      <c r="S21" s="33">
        <f t="shared" si="11"/>
        <v>0</v>
      </c>
      <c r="T21" s="36">
        <f t="shared" si="12"/>
        <v>0</v>
      </c>
      <c r="U21" s="11"/>
    </row>
    <row r="22" spans="1:21" x14ac:dyDescent="0.3">
      <c r="A22" s="19" t="s">
        <v>71</v>
      </c>
      <c r="B22" s="31">
        <v>2.25</v>
      </c>
      <c r="C22" s="68">
        <f>'3_Checkliste_Windmessung'!O24</f>
        <v>9800</v>
      </c>
      <c r="D22" s="74">
        <f>'3_Checkliste_Windmessung'!P24</f>
        <v>9.4535281917715722E-2</v>
      </c>
      <c r="E22" s="33">
        <f t="shared" si="0"/>
        <v>87.672524358500795</v>
      </c>
      <c r="F22" s="36">
        <f t="shared" si="6"/>
        <v>72.604166026417559</v>
      </c>
      <c r="G22" s="39">
        <f t="shared" si="1"/>
        <v>39.452635961325356</v>
      </c>
      <c r="H22" s="291">
        <f t="shared" si="7"/>
        <v>32.671874711887902</v>
      </c>
      <c r="I22" s="33">
        <f t="shared" si="8"/>
        <v>0</v>
      </c>
      <c r="J22" s="292">
        <f t="shared" si="9"/>
        <v>0</v>
      </c>
      <c r="L22" s="19" t="s">
        <v>71</v>
      </c>
      <c r="M22" s="31">
        <v>2.25</v>
      </c>
      <c r="N22" s="74">
        <f t="shared" si="2"/>
        <v>7.9183256048995787E-2</v>
      </c>
      <c r="O22" s="33">
        <f t="shared" si="3"/>
        <v>87.672524358500795</v>
      </c>
      <c r="P22" s="36">
        <f t="shared" si="4"/>
        <v>60.813636475931062</v>
      </c>
      <c r="Q22" s="33">
        <f t="shared" si="5"/>
        <v>39.452635961325356</v>
      </c>
      <c r="R22" s="36">
        <f t="shared" si="10"/>
        <v>27.366136414168977</v>
      </c>
      <c r="S22" s="33">
        <f t="shared" si="11"/>
        <v>0</v>
      </c>
      <c r="T22" s="36">
        <f t="shared" si="12"/>
        <v>0</v>
      </c>
      <c r="U22" s="11"/>
    </row>
    <row r="23" spans="1:21" x14ac:dyDescent="0.3">
      <c r="A23" s="19" t="s">
        <v>72</v>
      </c>
      <c r="B23" s="31">
        <v>2.75</v>
      </c>
      <c r="C23" s="68">
        <f>'3_Checkliste_Windmessung'!O25</f>
        <v>10515</v>
      </c>
      <c r="D23" s="74">
        <f>'3_Checkliste_Windmessung'!P25</f>
        <v>0.10143249891477354</v>
      </c>
      <c r="E23" s="33">
        <f t="shared" si="0"/>
        <v>160.07150880818182</v>
      </c>
      <c r="F23" s="36">
        <f t="shared" si="6"/>
        <v>142.23132953681528</v>
      </c>
      <c r="G23" s="39">
        <f t="shared" si="1"/>
        <v>72.032178963681815</v>
      </c>
      <c r="H23" s="291">
        <f t="shared" si="7"/>
        <v>64.004098291566891</v>
      </c>
      <c r="I23" s="33">
        <f t="shared" si="8"/>
        <v>0</v>
      </c>
      <c r="J23" s="292">
        <f t="shared" si="9"/>
        <v>0</v>
      </c>
      <c r="L23" s="19" t="s">
        <v>72</v>
      </c>
      <c r="M23" s="31">
        <v>2.75</v>
      </c>
      <c r="N23" s="74">
        <f t="shared" si="2"/>
        <v>8.6705830974333459E-2</v>
      </c>
      <c r="O23" s="33">
        <f t="shared" si="3"/>
        <v>160.07150880818182</v>
      </c>
      <c r="P23" s="36">
        <f t="shared" si="4"/>
        <v>121.58120671399178</v>
      </c>
      <c r="Q23" s="33">
        <f t="shared" si="5"/>
        <v>72.032178963681815</v>
      </c>
      <c r="R23" s="36">
        <f t="shared" si="10"/>
        <v>54.711543021296301</v>
      </c>
      <c r="S23" s="33">
        <f t="shared" si="11"/>
        <v>0</v>
      </c>
      <c r="T23" s="36">
        <f t="shared" si="12"/>
        <v>0</v>
      </c>
      <c r="U23" s="11"/>
    </row>
    <row r="24" spans="1:21" x14ac:dyDescent="0.3">
      <c r="A24" s="19" t="s">
        <v>73</v>
      </c>
      <c r="B24" s="31">
        <v>3.25</v>
      </c>
      <c r="C24" s="68">
        <f>'3_Checkliste_Windmessung'!O26</f>
        <v>10490</v>
      </c>
      <c r="D24" s="74">
        <f>'3_Checkliste_Windmessung'!P26</f>
        <v>0.10119133748130998</v>
      </c>
      <c r="E24" s="33">
        <f t="shared" si="0"/>
        <v>264.22021401320472</v>
      </c>
      <c r="F24" s="36">
        <f t="shared" si="6"/>
        <v>234.21434036740473</v>
      </c>
      <c r="G24" s="39">
        <f t="shared" si="1"/>
        <v>118.89909630594212</v>
      </c>
      <c r="H24" s="291">
        <f t="shared" si="7"/>
        <v>105.39645316533213</v>
      </c>
      <c r="I24" s="33">
        <f t="shared" si="8"/>
        <v>118.89909630594212</v>
      </c>
      <c r="J24" s="292">
        <f t="shared" si="9"/>
        <v>105.39645316533213</v>
      </c>
      <c r="L24" s="19" t="s">
        <v>73</v>
      </c>
      <c r="M24" s="31">
        <v>3.25</v>
      </c>
      <c r="N24" s="74">
        <f t="shared" si="2"/>
        <v>8.9808346287819016E-2</v>
      </c>
      <c r="O24" s="33">
        <f t="shared" si="3"/>
        <v>264.22021401320472</v>
      </c>
      <c r="P24" s="36">
        <f t="shared" si="4"/>
        <v>207.86762097273439</v>
      </c>
      <c r="Q24" s="33">
        <f t="shared" si="5"/>
        <v>118.89909630594212</v>
      </c>
      <c r="R24" s="36">
        <f t="shared" si="10"/>
        <v>93.540429437730481</v>
      </c>
      <c r="S24" s="33">
        <f t="shared" si="11"/>
        <v>118.89909630594212</v>
      </c>
      <c r="T24" s="36">
        <f t="shared" si="12"/>
        <v>93.540429437730481</v>
      </c>
      <c r="U24" s="11"/>
    </row>
    <row r="25" spans="1:21" x14ac:dyDescent="0.3">
      <c r="A25" s="19" t="s">
        <v>74</v>
      </c>
      <c r="B25" s="31">
        <v>3.75</v>
      </c>
      <c r="C25" s="68">
        <f>'3_Checkliste_Windmessung'!O27</f>
        <v>9940</v>
      </c>
      <c r="D25" s="74">
        <f>'3_Checkliste_Windmessung'!P27</f>
        <v>9.5885785945111657E-2</v>
      </c>
      <c r="E25" s="33">
        <f t="shared" si="0"/>
        <v>405.8913164745407</v>
      </c>
      <c r="F25" s="36">
        <f t="shared" si="6"/>
        <v>340.93226110288663</v>
      </c>
      <c r="G25" s="39">
        <f t="shared" si="1"/>
        <v>182.65109241354332</v>
      </c>
      <c r="H25" s="291">
        <f t="shared" si="7"/>
        <v>153.41951749629902</v>
      </c>
      <c r="I25" s="33">
        <f t="shared" si="8"/>
        <v>182.65109241354332</v>
      </c>
      <c r="J25" s="292">
        <f t="shared" si="9"/>
        <v>153.41951749629902</v>
      </c>
      <c r="L25" s="19" t="s">
        <v>74</v>
      </c>
      <c r="M25" s="31">
        <v>3.75</v>
      </c>
      <c r="N25" s="74">
        <f t="shared" si="2"/>
        <v>8.8845469823851844E-2</v>
      </c>
      <c r="O25" s="33">
        <f t="shared" si="3"/>
        <v>405.8913164745407</v>
      </c>
      <c r="P25" s="36">
        <f t="shared" si="4"/>
        <v>315.8996572561162</v>
      </c>
      <c r="Q25" s="33">
        <f t="shared" si="5"/>
        <v>182.65109241354332</v>
      </c>
      <c r="R25" s="36">
        <f t="shared" si="10"/>
        <v>142.15484576525228</v>
      </c>
      <c r="S25" s="33">
        <f t="shared" si="11"/>
        <v>182.65109241354332</v>
      </c>
      <c r="T25" s="36">
        <f t="shared" si="12"/>
        <v>142.15484576525228</v>
      </c>
      <c r="U25" s="11"/>
    </row>
    <row r="26" spans="1:21" x14ac:dyDescent="0.3">
      <c r="A26" s="19" t="s">
        <v>76</v>
      </c>
      <c r="B26" s="31">
        <v>4.25</v>
      </c>
      <c r="C26" s="68">
        <f>'3_Checkliste_Windmessung'!O28</f>
        <v>8977</v>
      </c>
      <c r="D26" s="74">
        <f>'3_Checkliste_Windmessung'!P28</f>
        <v>8.6596247528095305E-2</v>
      </c>
      <c r="E26" s="33">
        <f t="shared" si="0"/>
        <v>590.85749269316102</v>
      </c>
      <c r="F26" s="36">
        <f t="shared" si="6"/>
        <v>448.21452521391973</v>
      </c>
      <c r="G26" s="39">
        <f t="shared" si="1"/>
        <v>265.88587171192245</v>
      </c>
      <c r="H26" s="291">
        <f t="shared" si="7"/>
        <v>201.69653634626388</v>
      </c>
      <c r="I26" s="33">
        <f t="shared" si="8"/>
        <v>265.88587171192245</v>
      </c>
      <c r="J26" s="292">
        <f t="shared" si="9"/>
        <v>201.69653634626388</v>
      </c>
      <c r="L26" s="19" t="s">
        <v>76</v>
      </c>
      <c r="M26" s="31">
        <v>4.25</v>
      </c>
      <c r="N26" s="74">
        <f t="shared" si="2"/>
        <v>8.445329281766728E-2</v>
      </c>
      <c r="O26" s="33">
        <f t="shared" si="3"/>
        <v>590.85749269316102</v>
      </c>
      <c r="P26" s="36">
        <f t="shared" si="4"/>
        <v>437.12278099281133</v>
      </c>
      <c r="Q26" s="33">
        <f t="shared" si="5"/>
        <v>265.88587171192245</v>
      </c>
      <c r="R26" s="36">
        <f t="shared" si="10"/>
        <v>196.70525144676506</v>
      </c>
      <c r="S26" s="33">
        <f t="shared" si="11"/>
        <v>265.88587171192245</v>
      </c>
      <c r="T26" s="36">
        <f t="shared" si="12"/>
        <v>196.70525144676506</v>
      </c>
      <c r="U26" s="11"/>
    </row>
    <row r="27" spans="1:21" x14ac:dyDescent="0.3">
      <c r="A27" s="19" t="s">
        <v>75</v>
      </c>
      <c r="B27" s="31">
        <v>4.75</v>
      </c>
      <c r="C27" s="68">
        <f>'3_Checkliste_Windmessung'!O29</f>
        <v>7820</v>
      </c>
      <c r="D27" s="74">
        <f>'3_Checkliste_Windmessung'!P29</f>
        <v>7.5435296387401721E-2</v>
      </c>
      <c r="E27" s="33">
        <f t="shared" si="0"/>
        <v>824.8914191700369</v>
      </c>
      <c r="F27" s="36">
        <f t="shared" si="6"/>
        <v>545.0991353464417</v>
      </c>
      <c r="G27" s="39">
        <f t="shared" si="1"/>
        <v>371.20113862651664</v>
      </c>
      <c r="H27" s="291">
        <f t="shared" si="7"/>
        <v>245.29461090589874</v>
      </c>
      <c r="I27" s="33">
        <f t="shared" si="8"/>
        <v>371.20113862651664</v>
      </c>
      <c r="J27" s="292">
        <f t="shared" si="9"/>
        <v>245.29461090589874</v>
      </c>
      <c r="L27" s="19" t="s">
        <v>75</v>
      </c>
      <c r="M27" s="31">
        <v>4.75</v>
      </c>
      <c r="N27" s="74">
        <f t="shared" si="2"/>
        <v>7.7445797829510443E-2</v>
      </c>
      <c r="O27" s="33">
        <f t="shared" si="3"/>
        <v>824.8914191700369</v>
      </c>
      <c r="P27" s="36">
        <f t="shared" si="4"/>
        <v>559.6271169437839</v>
      </c>
      <c r="Q27" s="33">
        <f t="shared" si="5"/>
        <v>371.20113862651664</v>
      </c>
      <c r="R27" s="36">
        <f t="shared" si="10"/>
        <v>251.8322026247028</v>
      </c>
      <c r="S27" s="33">
        <f t="shared" si="11"/>
        <v>371.20113862651664</v>
      </c>
      <c r="T27" s="36">
        <f t="shared" si="12"/>
        <v>251.8322026247028</v>
      </c>
      <c r="U27" s="11"/>
    </row>
    <row r="28" spans="1:21" x14ac:dyDescent="0.3">
      <c r="A28" s="19" t="s">
        <v>77</v>
      </c>
      <c r="B28" s="31">
        <v>5.25</v>
      </c>
      <c r="C28" s="68">
        <f>'3_Checkliste_Windmessung'!O30</f>
        <v>6545</v>
      </c>
      <c r="D28" s="74">
        <f>'3_Checkliste_Windmessung'!P30</f>
        <v>6.3136063280760144E-2</v>
      </c>
      <c r="E28" s="33">
        <f t="shared" si="0"/>
        <v>1113.7657724061396</v>
      </c>
      <c r="F28" s="36">
        <f t="shared" si="6"/>
        <v>615.99256787042964</v>
      </c>
      <c r="G28" s="39">
        <f t="shared" si="1"/>
        <v>501.19459758276281</v>
      </c>
      <c r="H28" s="291">
        <f t="shared" si="7"/>
        <v>277.1966555416933</v>
      </c>
      <c r="I28" s="33">
        <f t="shared" si="8"/>
        <v>501.19459758276281</v>
      </c>
      <c r="J28" s="292">
        <f t="shared" si="9"/>
        <v>277.1966555416933</v>
      </c>
      <c r="L28" s="19" t="s">
        <v>77</v>
      </c>
      <c r="M28" s="31">
        <v>5.25</v>
      </c>
      <c r="N28" s="74">
        <f t="shared" si="2"/>
        <v>6.8705752052452468E-2</v>
      </c>
      <c r="O28" s="33">
        <f t="shared" si="3"/>
        <v>1113.7657724061396</v>
      </c>
      <c r="P28" s="36">
        <f t="shared" si="4"/>
        <v>670.33372743017333</v>
      </c>
      <c r="Q28" s="33">
        <f t="shared" si="5"/>
        <v>501.19459758276281</v>
      </c>
      <c r="R28" s="36">
        <f t="shared" si="10"/>
        <v>301.65017734357798</v>
      </c>
      <c r="S28" s="33">
        <f t="shared" si="11"/>
        <v>501.19459758276281</v>
      </c>
      <c r="T28" s="36">
        <f t="shared" si="12"/>
        <v>301.65017734357798</v>
      </c>
      <c r="U28" s="11"/>
    </row>
    <row r="29" spans="1:21" x14ac:dyDescent="0.3">
      <c r="A29" s="19" t="s">
        <v>78</v>
      </c>
      <c r="B29" s="31">
        <v>5.75</v>
      </c>
      <c r="C29" s="68">
        <f>'3_Checkliste_Windmessung'!O31</f>
        <v>5210</v>
      </c>
      <c r="D29" s="74">
        <f>'3_Checkliste_Windmessung'!P31</f>
        <v>5.0258042733806012E-2</v>
      </c>
      <c r="E29" s="33">
        <f t="shared" si="0"/>
        <v>1463.2532289024405</v>
      </c>
      <c r="F29" s="36">
        <f t="shared" si="6"/>
        <v>644.21253138297243</v>
      </c>
      <c r="G29" s="39">
        <f t="shared" si="1"/>
        <v>658.46395300609822</v>
      </c>
      <c r="H29" s="291">
        <f t="shared" si="7"/>
        <v>289.89563912233757</v>
      </c>
      <c r="I29" s="33">
        <f t="shared" si="8"/>
        <v>658.46395300609822</v>
      </c>
      <c r="J29" s="292">
        <f t="shared" si="9"/>
        <v>289.89563912233757</v>
      </c>
      <c r="L29" s="19" t="s">
        <v>78</v>
      </c>
      <c r="M29" s="31">
        <v>5.75</v>
      </c>
      <c r="N29" s="74">
        <f t="shared" si="2"/>
        <v>5.9085938687119234E-2</v>
      </c>
      <c r="O29" s="33">
        <f t="shared" si="3"/>
        <v>1463.2532289024405</v>
      </c>
      <c r="P29" s="36">
        <f t="shared" si="4"/>
        <v>757.36936936393147</v>
      </c>
      <c r="Q29" s="33">
        <f t="shared" si="5"/>
        <v>658.46395300609822</v>
      </c>
      <c r="R29" s="36">
        <f t="shared" si="10"/>
        <v>340.81621621376917</v>
      </c>
      <c r="S29" s="33">
        <f t="shared" si="11"/>
        <v>658.46395300609822</v>
      </c>
      <c r="T29" s="36">
        <f t="shared" si="12"/>
        <v>340.81621621376917</v>
      </c>
      <c r="U29" s="11"/>
    </row>
    <row r="30" spans="1:21" x14ac:dyDescent="0.3">
      <c r="A30" s="19" t="s">
        <v>79</v>
      </c>
      <c r="B30" s="31">
        <v>6.25</v>
      </c>
      <c r="C30" s="68">
        <f>'3_Checkliste_Windmessung'!O32</f>
        <v>4048</v>
      </c>
      <c r="D30" s="74">
        <f>'3_Checkliste_Windmessung'!P32</f>
        <v>3.9048859306419714E-2</v>
      </c>
      <c r="E30" s="33">
        <f t="shared" si="0"/>
        <v>1879.1264651599106</v>
      </c>
      <c r="F30" s="36">
        <f t="shared" si="6"/>
        <v>642.78904582331256</v>
      </c>
      <c r="G30" s="39">
        <f t="shared" si="1"/>
        <v>845.60690932195973</v>
      </c>
      <c r="H30" s="291">
        <f t="shared" si="7"/>
        <v>289.25507062049064</v>
      </c>
      <c r="I30" s="33">
        <f t="shared" si="8"/>
        <v>845.60690932195973</v>
      </c>
      <c r="J30" s="292">
        <f t="shared" si="9"/>
        <v>289.25507062049064</v>
      </c>
      <c r="L30" s="19" t="s">
        <v>79</v>
      </c>
      <c r="M30" s="31">
        <v>6.25</v>
      </c>
      <c r="N30" s="74">
        <f t="shared" si="2"/>
        <v>4.9332345808484265E-2</v>
      </c>
      <c r="O30" s="33">
        <f t="shared" si="3"/>
        <v>1879.1264651599106</v>
      </c>
      <c r="P30" s="36">
        <f t="shared" si="4"/>
        <v>812.067037390976</v>
      </c>
      <c r="Q30" s="33">
        <f t="shared" si="5"/>
        <v>845.60690932195973</v>
      </c>
      <c r="R30" s="36">
        <f t="shared" si="10"/>
        <v>365.43016682593912</v>
      </c>
      <c r="S30" s="33">
        <f t="shared" si="11"/>
        <v>845.60690932195973</v>
      </c>
      <c r="T30" s="36">
        <f t="shared" si="12"/>
        <v>365.43016682593912</v>
      </c>
      <c r="U30" s="11"/>
    </row>
    <row r="31" spans="1:21" x14ac:dyDescent="0.3">
      <c r="A31" s="19" t="s">
        <v>80</v>
      </c>
      <c r="B31" s="31">
        <v>6.75</v>
      </c>
      <c r="C31" s="68">
        <f>'3_Checkliste_Windmessung'!O33</f>
        <v>3026</v>
      </c>
      <c r="D31" s="74">
        <f>'3_Checkliste_Windmessung'!P33</f>
        <v>2.9190179906429362E-2</v>
      </c>
      <c r="E31" s="33">
        <f t="shared" si="0"/>
        <v>2367.1581576795215</v>
      </c>
      <c r="F31" s="36">
        <f t="shared" si="6"/>
        <v>605.29648700922121</v>
      </c>
      <c r="G31" s="39">
        <f t="shared" si="1"/>
        <v>1065.2211709557848</v>
      </c>
      <c r="H31" s="291">
        <f t="shared" si="7"/>
        <v>272.38341915414952</v>
      </c>
      <c r="I31" s="33">
        <f t="shared" si="8"/>
        <v>1065.2211709557848</v>
      </c>
      <c r="J31" s="292">
        <f t="shared" si="9"/>
        <v>272.38341915414952</v>
      </c>
      <c r="L31" s="19" t="s">
        <v>80</v>
      </c>
      <c r="M31" s="31">
        <v>6.75</v>
      </c>
      <c r="N31" s="74">
        <f t="shared" si="2"/>
        <v>4.003537789972441E-2</v>
      </c>
      <c r="O31" s="33">
        <f t="shared" si="3"/>
        <v>2367.1581576795215</v>
      </c>
      <c r="P31" s="36">
        <f t="shared" si="4"/>
        <v>830.18582538616795</v>
      </c>
      <c r="Q31" s="33">
        <f t="shared" si="5"/>
        <v>1065.2211709557848</v>
      </c>
      <c r="R31" s="36">
        <f t="shared" si="10"/>
        <v>373.5836214237757</v>
      </c>
      <c r="S31" s="33">
        <f t="shared" si="11"/>
        <v>1065.2211709557848</v>
      </c>
      <c r="T31" s="36">
        <f t="shared" si="12"/>
        <v>373.5836214237757</v>
      </c>
      <c r="U31" s="11"/>
    </row>
    <row r="32" spans="1:21" x14ac:dyDescent="0.3">
      <c r="A32" s="19" t="s">
        <v>81</v>
      </c>
      <c r="B32" s="31">
        <v>7.25</v>
      </c>
      <c r="C32" s="68">
        <f>'3_Checkliste_Windmessung'!O34</f>
        <v>2202</v>
      </c>
      <c r="D32" s="74">
        <f>'3_Checkliste_Windmessung'!P34</f>
        <v>2.1241499059470408E-2</v>
      </c>
      <c r="E32" s="33">
        <f t="shared" si="0"/>
        <v>2933.1209829622439</v>
      </c>
      <c r="F32" s="36">
        <f t="shared" si="6"/>
        <v>545.78204662393148</v>
      </c>
      <c r="G32" s="39">
        <f t="shared" si="1"/>
        <v>1319.9044423330099</v>
      </c>
      <c r="H32" s="291">
        <f t="shared" si="7"/>
        <v>245.60192098076922</v>
      </c>
      <c r="I32" s="33">
        <f t="shared" si="8"/>
        <v>1319.9044423330099</v>
      </c>
      <c r="J32" s="292">
        <f t="shared" si="9"/>
        <v>245.60192098076922</v>
      </c>
      <c r="L32" s="19" t="s">
        <v>81</v>
      </c>
      <c r="M32" s="31">
        <v>7.25</v>
      </c>
      <c r="N32" s="74">
        <f t="shared" si="2"/>
        <v>3.1609638576187413E-2</v>
      </c>
      <c r="O32" s="33">
        <f t="shared" si="3"/>
        <v>2933.1209829622439</v>
      </c>
      <c r="P32" s="36">
        <f t="shared" si="4"/>
        <v>812.18247294381251</v>
      </c>
      <c r="Q32" s="33">
        <f t="shared" si="5"/>
        <v>1319.9044423330099</v>
      </c>
      <c r="R32" s="36">
        <f t="shared" si="10"/>
        <v>365.48211282471561</v>
      </c>
      <c r="S32" s="33">
        <f t="shared" si="11"/>
        <v>1319.9044423330099</v>
      </c>
      <c r="T32" s="36">
        <f t="shared" si="12"/>
        <v>365.48211282471561</v>
      </c>
      <c r="U32" s="11"/>
    </row>
    <row r="33" spans="1:21" x14ac:dyDescent="0.3">
      <c r="A33" s="19" t="s">
        <v>82</v>
      </c>
      <c r="B33" s="31">
        <v>7.75</v>
      </c>
      <c r="C33" s="68">
        <f>'3_Checkliste_Windmessung'!O35</f>
        <v>1556</v>
      </c>
      <c r="D33" s="74">
        <f>'3_Checkliste_Windmessung'!P35</f>
        <v>1.5009887618772005E-2</v>
      </c>
      <c r="E33" s="33">
        <f t="shared" si="0"/>
        <v>3582.7876175090496</v>
      </c>
      <c r="F33" s="36">
        <f t="shared" si="6"/>
        <v>471.08861802647135</v>
      </c>
      <c r="G33" s="39">
        <f t="shared" si="1"/>
        <v>1612.2544278790724</v>
      </c>
      <c r="H33" s="291">
        <f t="shared" si="7"/>
        <v>211.98987811191211</v>
      </c>
      <c r="I33" s="33">
        <f t="shared" si="8"/>
        <v>1612.2544278790724</v>
      </c>
      <c r="J33" s="292">
        <f t="shared" si="9"/>
        <v>211.98987811191211</v>
      </c>
      <c r="L33" s="19" t="s">
        <v>82</v>
      </c>
      <c r="M33" s="31">
        <v>7.75</v>
      </c>
      <c r="N33" s="74">
        <f t="shared" si="2"/>
        <v>2.4298392599337762E-2</v>
      </c>
      <c r="O33" s="33">
        <f t="shared" si="3"/>
        <v>3582.7876175090496</v>
      </c>
      <c r="P33" s="36">
        <f t="shared" si="4"/>
        <v>762.61038594126023</v>
      </c>
      <c r="Q33" s="33">
        <f t="shared" si="5"/>
        <v>1612.2544278790724</v>
      </c>
      <c r="R33" s="36">
        <f t="shared" si="10"/>
        <v>343.17467367356721</v>
      </c>
      <c r="S33" s="33">
        <f t="shared" si="11"/>
        <v>1612.2544278790724</v>
      </c>
      <c r="T33" s="36">
        <f t="shared" si="12"/>
        <v>343.17467367356721</v>
      </c>
      <c r="U33" s="11"/>
    </row>
    <row r="34" spans="1:21" x14ac:dyDescent="0.3">
      <c r="A34" s="19" t="s">
        <v>83</v>
      </c>
      <c r="B34" s="31">
        <v>8.25</v>
      </c>
      <c r="C34" s="68">
        <f>'3_Checkliste_Windmessung'!O36</f>
        <v>1041</v>
      </c>
      <c r="D34" s="74">
        <f>'3_Checkliste_Windmessung'!P36</f>
        <v>1.004196208942266E-2</v>
      </c>
      <c r="E34" s="33">
        <f t="shared" si="0"/>
        <v>4321.9307378209096</v>
      </c>
      <c r="F34" s="36">
        <f t="shared" si="6"/>
        <v>380.18982209141876</v>
      </c>
      <c r="G34" s="39">
        <f t="shared" si="1"/>
        <v>1944.8688320194094</v>
      </c>
      <c r="H34" s="291">
        <f t="shared" si="7"/>
        <v>171.08541994113847</v>
      </c>
      <c r="I34" s="33">
        <f t="shared" si="8"/>
        <v>1944.8688320194094</v>
      </c>
      <c r="J34" s="292">
        <f t="shared" si="9"/>
        <v>171.08541994113847</v>
      </c>
      <c r="L34" s="19" t="s">
        <v>83</v>
      </c>
      <c r="M34" s="31">
        <v>8.25</v>
      </c>
      <c r="N34" s="74">
        <f t="shared" si="2"/>
        <v>1.8196047600211006E-2</v>
      </c>
      <c r="O34" s="33">
        <f t="shared" si="3"/>
        <v>4321.9307378209096</v>
      </c>
      <c r="P34" s="36">
        <f t="shared" si="4"/>
        <v>688.90442308859008</v>
      </c>
      <c r="Q34" s="33">
        <f t="shared" si="5"/>
        <v>1944.8688320194094</v>
      </c>
      <c r="R34" s="36">
        <f t="shared" si="10"/>
        <v>310.00699038986551</v>
      </c>
      <c r="S34" s="33">
        <f t="shared" si="11"/>
        <v>1944.8688320194094</v>
      </c>
      <c r="T34" s="36">
        <f t="shared" si="12"/>
        <v>310.00699038986551</v>
      </c>
      <c r="U34" s="11"/>
    </row>
    <row r="35" spans="1:21" x14ac:dyDescent="0.3">
      <c r="A35" s="19" t="s">
        <v>84</v>
      </c>
      <c r="B35" s="31">
        <v>8.75</v>
      </c>
      <c r="C35" s="68">
        <f>'3_Checkliste_Windmessung'!O37</f>
        <v>589</v>
      </c>
      <c r="D35" s="74">
        <f>'3_Checkliste_Windmessung'!P37</f>
        <v>5.6817633724014858E-3</v>
      </c>
      <c r="E35" s="33">
        <f t="shared" si="0"/>
        <v>5156.3230203987951</v>
      </c>
      <c r="F35" s="36">
        <f t="shared" si="6"/>
        <v>256.64178371649484</v>
      </c>
      <c r="G35" s="39">
        <f t="shared" si="1"/>
        <v>2320.3453591794578</v>
      </c>
      <c r="H35" s="291">
        <f t="shared" si="7"/>
        <v>115.48880267242268</v>
      </c>
      <c r="I35" s="33">
        <f t="shared" si="8"/>
        <v>2320.3453591794578</v>
      </c>
      <c r="J35" s="292">
        <f t="shared" si="9"/>
        <v>115.48880267242268</v>
      </c>
      <c r="L35" s="19" t="s">
        <v>84</v>
      </c>
      <c r="M35" s="31">
        <v>8.75</v>
      </c>
      <c r="N35" s="74">
        <f t="shared" si="2"/>
        <v>1.3281018959114793E-2</v>
      </c>
      <c r="O35" s="33">
        <f t="shared" si="3"/>
        <v>5156.3230203987951</v>
      </c>
      <c r="P35" s="36">
        <f t="shared" si="4"/>
        <v>599.89552042875141</v>
      </c>
      <c r="Q35" s="33">
        <f t="shared" si="5"/>
        <v>2320.3453591794578</v>
      </c>
      <c r="R35" s="36">
        <f t="shared" si="10"/>
        <v>269.95298419293806</v>
      </c>
      <c r="S35" s="33">
        <f t="shared" si="11"/>
        <v>2320.3453591794578</v>
      </c>
      <c r="T35" s="36">
        <f t="shared" si="12"/>
        <v>269.95298419293806</v>
      </c>
      <c r="U35" s="11"/>
    </row>
    <row r="36" spans="1:21" x14ac:dyDescent="0.3">
      <c r="A36" s="19" t="s">
        <v>85</v>
      </c>
      <c r="B36" s="31">
        <v>9.25</v>
      </c>
      <c r="C36" s="68">
        <f>'3_Checkliste_Windmessung'!O38</f>
        <v>372</v>
      </c>
      <c r="D36" s="74">
        <f>'3_Checkliste_Windmessung'!P38</f>
        <v>3.5884821299377802E-3</v>
      </c>
      <c r="E36" s="33">
        <f t="shared" si="0"/>
        <v>6091.7371417436771</v>
      </c>
      <c r="F36" s="36">
        <f t="shared" si="6"/>
        <v>191.49438729120683</v>
      </c>
      <c r="G36" s="39">
        <f t="shared" si="1"/>
        <v>2741.2817137846546</v>
      </c>
      <c r="H36" s="291">
        <f t="shared" si="7"/>
        <v>86.172474281043066</v>
      </c>
      <c r="I36" s="33">
        <f t="shared" si="8"/>
        <v>2741.2817137846546</v>
      </c>
      <c r="J36" s="292">
        <f t="shared" si="9"/>
        <v>86.172474281043066</v>
      </c>
      <c r="L36" s="19" t="s">
        <v>85</v>
      </c>
      <c r="M36" s="31">
        <v>9.25</v>
      </c>
      <c r="N36" s="74">
        <f t="shared" si="2"/>
        <v>9.4518812985948351E-3</v>
      </c>
      <c r="O36" s="33">
        <f t="shared" si="3"/>
        <v>6091.7371417436771</v>
      </c>
      <c r="P36" s="36">
        <f t="shared" si="4"/>
        <v>504.38657696618293</v>
      </c>
      <c r="Q36" s="33">
        <f t="shared" si="5"/>
        <v>2741.2817137846546</v>
      </c>
      <c r="R36" s="36">
        <f t="shared" si="10"/>
        <v>226.97395963478232</v>
      </c>
      <c r="S36" s="33">
        <f t="shared" si="11"/>
        <v>2741.2817137846546</v>
      </c>
      <c r="T36" s="36">
        <f t="shared" si="12"/>
        <v>226.97395963478232</v>
      </c>
      <c r="U36" s="11"/>
    </row>
    <row r="37" spans="1:21" x14ac:dyDescent="0.3">
      <c r="A37" s="19" t="s">
        <v>86</v>
      </c>
      <c r="B37" s="31">
        <v>9.75</v>
      </c>
      <c r="C37" s="68">
        <f>'3_Checkliste_Windmessung'!O39</f>
        <v>219</v>
      </c>
      <c r="D37" s="74">
        <f>'3_Checkliste_Windmessung'!P39</f>
        <v>2.1125741571407898E-3</v>
      </c>
      <c r="E37" s="33">
        <f t="shared" si="0"/>
        <v>7133.9457783565276</v>
      </c>
      <c r="F37" s="36">
        <f t="shared" si="6"/>
        <v>132.02186793064485</v>
      </c>
      <c r="G37" s="39">
        <f t="shared" si="1"/>
        <v>3210.2756002604374</v>
      </c>
      <c r="H37" s="291">
        <f t="shared" si="7"/>
        <v>59.409840568790173</v>
      </c>
      <c r="I37" s="33">
        <f t="shared" si="8"/>
        <v>3210.2756002604374</v>
      </c>
      <c r="J37" s="292">
        <f t="shared" si="9"/>
        <v>59.409840568790173</v>
      </c>
      <c r="L37" s="19" t="s">
        <v>86</v>
      </c>
      <c r="M37" s="31">
        <v>9.75</v>
      </c>
      <c r="N37" s="74">
        <f t="shared" si="2"/>
        <v>6.5612604727717074E-3</v>
      </c>
      <c r="O37" s="33">
        <f t="shared" si="3"/>
        <v>7133.9457783565276</v>
      </c>
      <c r="P37" s="36">
        <f t="shared" si="4"/>
        <v>410.03524570574291</v>
      </c>
      <c r="Q37" s="33">
        <f t="shared" si="5"/>
        <v>3210.2756002604374</v>
      </c>
      <c r="R37" s="36">
        <f t="shared" si="10"/>
        <v>184.51586056758433</v>
      </c>
      <c r="S37" s="33">
        <f t="shared" si="11"/>
        <v>3210.2756002604374</v>
      </c>
      <c r="T37" s="36">
        <f t="shared" si="12"/>
        <v>184.51586056758433</v>
      </c>
      <c r="U37" s="11"/>
    </row>
    <row r="38" spans="1:21" x14ac:dyDescent="0.3">
      <c r="A38" s="19" t="s">
        <v>87</v>
      </c>
      <c r="B38" s="31">
        <v>10.25</v>
      </c>
      <c r="C38" s="68">
        <f>'3_Checkliste_Windmessung'!O40</f>
        <v>145</v>
      </c>
      <c r="D38" s="74">
        <f>'3_Checkliste_Windmessung'!P40</f>
        <v>1.398736314088651E-3</v>
      </c>
      <c r="E38" s="33">
        <f t="shared" si="0"/>
        <v>8288.721606738316</v>
      </c>
      <c r="F38" s="36">
        <f t="shared" si="6"/>
        <v>101.56112656035315</v>
      </c>
      <c r="G38" s="39">
        <f t="shared" si="1"/>
        <v>3729.9247230322421</v>
      </c>
      <c r="H38" s="291">
        <f t="shared" si="7"/>
        <v>45.70250695215892</v>
      </c>
      <c r="I38" s="33">
        <f t="shared" si="8"/>
        <v>3500</v>
      </c>
      <c r="J38" s="292">
        <f t="shared" si="9"/>
        <v>42.88525538995804</v>
      </c>
      <c r="L38" s="19" t="s">
        <v>87</v>
      </c>
      <c r="M38" s="31">
        <v>10.25</v>
      </c>
      <c r="N38" s="74">
        <f t="shared" si="2"/>
        <v>4.4439137402374458E-3</v>
      </c>
      <c r="O38" s="33">
        <f t="shared" si="3"/>
        <v>8288.721606738316</v>
      </c>
      <c r="P38" s="36">
        <f t="shared" si="4"/>
        <v>322.66902721376164</v>
      </c>
      <c r="Q38" s="33">
        <f t="shared" si="5"/>
        <v>3729.9247230322421</v>
      </c>
      <c r="R38" s="36">
        <f t="shared" si="10"/>
        <v>145.20106224619275</v>
      </c>
      <c r="S38" s="33">
        <f t="shared" si="11"/>
        <v>3500</v>
      </c>
      <c r="T38" s="36">
        <f t="shared" si="12"/>
        <v>136.25039527568009</v>
      </c>
      <c r="U38" s="11"/>
    </row>
    <row r="39" spans="1:21" x14ac:dyDescent="0.3">
      <c r="A39" s="19" t="s">
        <v>88</v>
      </c>
      <c r="B39" s="31">
        <v>10.75</v>
      </c>
      <c r="C39" s="68">
        <f>'3_Checkliste_Windmessung'!O41</f>
        <v>84</v>
      </c>
      <c r="D39" s="74">
        <f>'3_Checkliste_Windmessung'!P41</f>
        <v>8.103024164375633E-4</v>
      </c>
      <c r="E39" s="33">
        <f t="shared" si="0"/>
        <v>9561.837303390017</v>
      </c>
      <c r="F39" s="36">
        <f t="shared" si="6"/>
        <v>67.872303683273145</v>
      </c>
      <c r="G39" s="39">
        <f t="shared" si="1"/>
        <v>4302.8267865255075</v>
      </c>
      <c r="H39" s="291">
        <f t="shared" si="7"/>
        <v>30.542536657472912</v>
      </c>
      <c r="I39" s="33">
        <f t="shared" si="8"/>
        <v>3500</v>
      </c>
      <c r="J39" s="292">
        <f t="shared" si="9"/>
        <v>24.843872087975686</v>
      </c>
      <c r="L39" s="19" t="s">
        <v>88</v>
      </c>
      <c r="M39" s="31">
        <v>10.75</v>
      </c>
      <c r="N39" s="74">
        <f t="shared" si="2"/>
        <v>2.937394419785739E-3</v>
      </c>
      <c r="O39" s="33">
        <f t="shared" si="3"/>
        <v>9561.837303390017</v>
      </c>
      <c r="P39" s="36">
        <f t="shared" si="4"/>
        <v>246.04113483180214</v>
      </c>
      <c r="Q39" s="33">
        <f t="shared" si="5"/>
        <v>4302.8267865255075</v>
      </c>
      <c r="R39" s="36">
        <f t="shared" si="10"/>
        <v>110.71851067431095</v>
      </c>
      <c r="S39" s="33">
        <f t="shared" si="11"/>
        <v>3500</v>
      </c>
      <c r="T39" s="36">
        <f t="shared" si="12"/>
        <v>90.060512910630763</v>
      </c>
      <c r="U39" s="11"/>
    </row>
    <row r="40" spans="1:21" x14ac:dyDescent="0.3">
      <c r="A40" s="19" t="s">
        <v>89</v>
      </c>
      <c r="B40" s="31">
        <v>11.25</v>
      </c>
      <c r="C40" s="68">
        <f>'3_Checkliste_Windmessung'!O42</f>
        <v>50</v>
      </c>
      <c r="D40" s="74">
        <f>'3_Checkliste_Windmessung'!P42</f>
        <v>4.82322866927121E-4</v>
      </c>
      <c r="E40" s="33">
        <f t="shared" si="0"/>
        <v>10959.065544812598</v>
      </c>
      <c r="F40" s="36">
        <f t="shared" si="6"/>
        <v>46.30367731276629</v>
      </c>
      <c r="G40" s="39">
        <f t="shared" si="1"/>
        <v>4931.579495165669</v>
      </c>
      <c r="H40" s="291">
        <f t="shared" si="7"/>
        <v>20.836654790744834</v>
      </c>
      <c r="I40" s="33">
        <f t="shared" si="8"/>
        <v>3500</v>
      </c>
      <c r="J40" s="292">
        <f t="shared" si="9"/>
        <v>14.788019099985529</v>
      </c>
      <c r="L40" s="19" t="s">
        <v>89</v>
      </c>
      <c r="M40" s="31">
        <v>11.25</v>
      </c>
      <c r="N40" s="74">
        <f t="shared" si="2"/>
        <v>1.8952710311823905E-3</v>
      </c>
      <c r="O40" s="33">
        <f t="shared" si="3"/>
        <v>10959.065544812598</v>
      </c>
      <c r="P40" s="36">
        <f t="shared" si="4"/>
        <v>181.94869923379244</v>
      </c>
      <c r="Q40" s="33">
        <f t="shared" si="5"/>
        <v>4931.579495165669</v>
      </c>
      <c r="R40" s="36">
        <f t="shared" si="10"/>
        <v>81.876914655206591</v>
      </c>
      <c r="S40" s="33">
        <f t="shared" si="11"/>
        <v>3500</v>
      </c>
      <c r="T40" s="36">
        <f t="shared" si="12"/>
        <v>58.109009816052094</v>
      </c>
      <c r="U40" s="11"/>
    </row>
    <row r="41" spans="1:21" x14ac:dyDescent="0.3">
      <c r="A41" s="19" t="s">
        <v>90</v>
      </c>
      <c r="B41" s="31">
        <v>11.75</v>
      </c>
      <c r="C41" s="68">
        <f>'3_Checkliste_Windmessung'!O43</f>
        <v>28</v>
      </c>
      <c r="D41" s="74">
        <f>'3_Checkliste_Windmessung'!P43</f>
        <v>2.7010080547918775E-4</v>
      </c>
      <c r="E41" s="33">
        <f t="shared" si="0"/>
        <v>12486.179007507033</v>
      </c>
      <c r="F41" s="36">
        <f t="shared" si="6"/>
        <v>29.543336583816377</v>
      </c>
      <c r="G41" s="39">
        <f t="shared" si="1"/>
        <v>5618.7805533781648</v>
      </c>
      <c r="H41" s="291">
        <f t="shared" si="7"/>
        <v>13.294501462717371</v>
      </c>
      <c r="I41" s="33">
        <f t="shared" si="8"/>
        <v>3500</v>
      </c>
      <c r="J41" s="292">
        <f t="shared" si="9"/>
        <v>8.2812906959918973</v>
      </c>
      <c r="L41" s="19" t="s">
        <v>90</v>
      </c>
      <c r="M41" s="31">
        <v>11.75</v>
      </c>
      <c r="N41" s="74">
        <f t="shared" si="2"/>
        <v>1.1939183417526353E-3</v>
      </c>
      <c r="O41" s="33">
        <f t="shared" si="3"/>
        <v>12486.179007507033</v>
      </c>
      <c r="P41" s="36">
        <f t="shared" si="4"/>
        <v>130.58950846671161</v>
      </c>
      <c r="Q41" s="33">
        <f t="shared" si="5"/>
        <v>5618.7805533781648</v>
      </c>
      <c r="R41" s="36">
        <f t="shared" si="10"/>
        <v>58.76527881002022</v>
      </c>
      <c r="S41" s="33">
        <f t="shared" si="11"/>
        <v>3500</v>
      </c>
      <c r="T41" s="36">
        <f t="shared" si="12"/>
        <v>36.605536358135801</v>
      </c>
      <c r="U41" s="11"/>
    </row>
    <row r="42" spans="1:21" x14ac:dyDescent="0.3">
      <c r="A42" s="19" t="s">
        <v>91</v>
      </c>
      <c r="B42" s="31">
        <v>12.25</v>
      </c>
      <c r="C42" s="68">
        <f>'3_Checkliste_Windmessung'!O44</f>
        <v>23</v>
      </c>
      <c r="D42" s="74">
        <f>'3_Checkliste_Windmessung'!P44</f>
        <v>2.2186851878647568E-4</v>
      </c>
      <c r="E42" s="33">
        <f t="shared" si="0"/>
        <v>14148.950367974294</v>
      </c>
      <c r="F42" s="36">
        <f t="shared" si="6"/>
        <v>27.499450346206149</v>
      </c>
      <c r="G42" s="39">
        <f t="shared" si="1"/>
        <v>6367.0276655884327</v>
      </c>
      <c r="H42" s="291">
        <f t="shared" si="7"/>
        <v>12.374752655792769</v>
      </c>
      <c r="I42" s="33">
        <f t="shared" si="8"/>
        <v>3500</v>
      </c>
      <c r="J42" s="292">
        <f t="shared" si="9"/>
        <v>6.8024887859933445</v>
      </c>
      <c r="L42" s="19" t="s">
        <v>91</v>
      </c>
      <c r="M42" s="31">
        <v>12.25</v>
      </c>
      <c r="N42" s="74">
        <f t="shared" si="2"/>
        <v>7.3441875041327961E-4</v>
      </c>
      <c r="O42" s="33">
        <f t="shared" si="3"/>
        <v>14148.950367974294</v>
      </c>
      <c r="P42" s="36">
        <f t="shared" si="4"/>
        <v>91.027388972427033</v>
      </c>
      <c r="Q42" s="33">
        <f t="shared" si="5"/>
        <v>6367.0276655884327</v>
      </c>
      <c r="R42" s="36">
        <f t="shared" si="10"/>
        <v>40.962325037592166</v>
      </c>
      <c r="S42" s="33">
        <f t="shared" si="11"/>
        <v>3500</v>
      </c>
      <c r="T42" s="36">
        <f t="shared" si="12"/>
        <v>22.517278887671154</v>
      </c>
      <c r="U42" s="11"/>
    </row>
    <row r="43" spans="1:21" x14ac:dyDescent="0.3">
      <c r="A43" s="19" t="s">
        <v>92</v>
      </c>
      <c r="B43" s="31">
        <v>12.75</v>
      </c>
      <c r="C43" s="68">
        <f>'3_Checkliste_Windmessung'!O45</f>
        <v>13</v>
      </c>
      <c r="D43" s="74">
        <f>'3_Checkliste_Windmessung'!P45</f>
        <v>1.2540394540105148E-4</v>
      </c>
      <c r="E43" s="33">
        <f t="shared" si="0"/>
        <v>15953.152302715347</v>
      </c>
      <c r="F43" s="36">
        <f t="shared" si="6"/>
        <v>17.525152985416717</v>
      </c>
      <c r="G43" s="39">
        <f t="shared" si="1"/>
        <v>7178.9185362219059</v>
      </c>
      <c r="H43" s="291">
        <f t="shared" si="7"/>
        <v>7.8863188434375227</v>
      </c>
      <c r="I43" s="33">
        <f t="shared" si="8"/>
        <v>3500</v>
      </c>
      <c r="J43" s="292">
        <f t="shared" si="9"/>
        <v>3.8448849659962381</v>
      </c>
      <c r="L43" s="19" t="s">
        <v>92</v>
      </c>
      <c r="M43" s="31">
        <v>12.75</v>
      </c>
      <c r="N43" s="74">
        <f t="shared" si="2"/>
        <v>4.412063120438488E-4</v>
      </c>
      <c r="O43" s="33">
        <f t="shared" si="3"/>
        <v>15953.152302715347</v>
      </c>
      <c r="P43" s="36">
        <f t="shared" si="4"/>
        <v>61.658411878284682</v>
      </c>
      <c r="Q43" s="33">
        <f t="shared" si="5"/>
        <v>7178.9185362219059</v>
      </c>
      <c r="R43" s="36">
        <f t="shared" si="10"/>
        <v>27.746285345228106</v>
      </c>
      <c r="S43" s="33">
        <f t="shared" si="11"/>
        <v>3500</v>
      </c>
      <c r="T43" s="36">
        <f t="shared" si="12"/>
        <v>13.527385527264405</v>
      </c>
      <c r="U43" s="11"/>
    </row>
    <row r="44" spans="1:21" x14ac:dyDescent="0.3">
      <c r="A44" s="19" t="s">
        <v>93</v>
      </c>
      <c r="B44" s="31">
        <v>13.25</v>
      </c>
      <c r="C44" s="68">
        <f>'3_Checkliste_Windmessung'!O46</f>
        <v>5</v>
      </c>
      <c r="D44" s="74">
        <f>'3_Checkliste_Windmessung'!P46</f>
        <v>4.82322866927121E-5</v>
      </c>
      <c r="E44" s="33">
        <f t="shared" si="0"/>
        <v>17904.55748823117</v>
      </c>
      <c r="F44" s="36">
        <f t="shared" si="6"/>
        <v>7.5649410889357567</v>
      </c>
      <c r="G44" s="39">
        <f t="shared" si="1"/>
        <v>8057.0508697040268</v>
      </c>
      <c r="H44" s="291">
        <f t="shared" si="7"/>
        <v>3.4042234900210904</v>
      </c>
      <c r="I44" s="33">
        <f t="shared" si="8"/>
        <v>3500</v>
      </c>
      <c r="J44" s="292">
        <f t="shared" si="9"/>
        <v>1.478801909998553</v>
      </c>
      <c r="L44" s="19" t="s">
        <v>93</v>
      </c>
      <c r="M44" s="31">
        <v>13.25</v>
      </c>
      <c r="N44" s="74">
        <f t="shared" si="2"/>
        <v>2.5889533778086511E-4</v>
      </c>
      <c r="O44" s="33">
        <f t="shared" si="3"/>
        <v>17904.55748823117</v>
      </c>
      <c r="P44" s="36">
        <f t="shared" si="4"/>
        <v>40.606160578496926</v>
      </c>
      <c r="Q44" s="33">
        <f t="shared" si="5"/>
        <v>8057.0508697040268</v>
      </c>
      <c r="R44" s="36">
        <f t="shared" si="10"/>
        <v>18.272772260323617</v>
      </c>
      <c r="S44" s="33">
        <f t="shared" si="11"/>
        <v>3500</v>
      </c>
      <c r="T44" s="36">
        <f t="shared" si="12"/>
        <v>7.9377310563613248</v>
      </c>
      <c r="U44" s="11"/>
    </row>
    <row r="45" spans="1:21" x14ac:dyDescent="0.3">
      <c r="A45" s="19" t="s">
        <v>94</v>
      </c>
      <c r="B45" s="31">
        <v>13.75</v>
      </c>
      <c r="C45" s="68">
        <f>'3_Checkliste_Windmessung'!O47</f>
        <v>4</v>
      </c>
      <c r="D45" s="74">
        <f>'3_Checkliste_Windmessung'!P47</f>
        <v>3.8585829354169681E-5</v>
      </c>
      <c r="E45" s="33">
        <f t="shared" si="0"/>
        <v>20008.938601022728</v>
      </c>
      <c r="F45" s="36">
        <f t="shared" si="6"/>
        <v>6.7632586560539849</v>
      </c>
      <c r="G45" s="39">
        <f t="shared" si="1"/>
        <v>9004.0223704602286</v>
      </c>
      <c r="H45" s="291">
        <f t="shared" si="7"/>
        <v>3.0434663952242937</v>
      </c>
      <c r="I45" s="33">
        <f t="shared" si="8"/>
        <v>3500</v>
      </c>
      <c r="J45" s="292">
        <f t="shared" si="9"/>
        <v>1.1830415279988424</v>
      </c>
      <c r="L45" s="19" t="s">
        <v>94</v>
      </c>
      <c r="M45" s="31">
        <v>13.75</v>
      </c>
      <c r="N45" s="74">
        <f t="shared" si="2"/>
        <v>1.4840236543222618E-4</v>
      </c>
      <c r="O45" s="33">
        <f t="shared" si="3"/>
        <v>20008.938601022728</v>
      </c>
      <c r="P45" s="36">
        <f t="shared" si="4"/>
        <v>26.011714647256373</v>
      </c>
      <c r="Q45" s="33">
        <f t="shared" si="5"/>
        <v>9004.0223704602286</v>
      </c>
      <c r="R45" s="36">
        <f t="shared" si="10"/>
        <v>11.705271591265369</v>
      </c>
      <c r="S45" s="33">
        <f t="shared" si="11"/>
        <v>3500</v>
      </c>
      <c r="T45" s="36">
        <f t="shared" si="12"/>
        <v>4.5500165241520545</v>
      </c>
      <c r="U45" s="11"/>
    </row>
    <row r="46" spans="1:21" x14ac:dyDescent="0.3">
      <c r="A46" s="19" t="s">
        <v>95</v>
      </c>
      <c r="B46" s="31">
        <v>14.25</v>
      </c>
      <c r="C46" s="68">
        <f>'3_Checkliste_Windmessung'!O48</f>
        <v>2</v>
      </c>
      <c r="D46" s="74">
        <f>'3_Checkliste_Windmessung'!P48</f>
        <v>1.9292914677084841E-5</v>
      </c>
      <c r="E46" s="33">
        <f t="shared" si="0"/>
        <v>22272.068317590998</v>
      </c>
      <c r="F46" s="36">
        <f t="shared" si="6"/>
        <v>3.7641116763053515</v>
      </c>
      <c r="G46" s="39">
        <f t="shared" si="1"/>
        <v>10022.430742915949</v>
      </c>
      <c r="H46" s="291">
        <f t="shared" si="7"/>
        <v>1.6938502543374081</v>
      </c>
      <c r="I46" s="33">
        <f t="shared" si="8"/>
        <v>3500</v>
      </c>
      <c r="J46" s="292">
        <f t="shared" si="9"/>
        <v>0.59152076399942122</v>
      </c>
      <c r="L46" s="19" t="s">
        <v>95</v>
      </c>
      <c r="M46" s="31">
        <v>14.25</v>
      </c>
      <c r="N46" s="74">
        <f t="shared" si="2"/>
        <v>8.3106638805176047E-5</v>
      </c>
      <c r="O46" s="33">
        <f t="shared" si="3"/>
        <v>22272.068317590998</v>
      </c>
      <c r="P46" s="36">
        <f t="shared" si="4"/>
        <v>16.214381017120743</v>
      </c>
      <c r="Q46" s="33">
        <f t="shared" si="5"/>
        <v>10022.430742915949</v>
      </c>
      <c r="R46" s="36">
        <f t="shared" si="10"/>
        <v>7.2964714577043344</v>
      </c>
      <c r="S46" s="33">
        <f t="shared" si="11"/>
        <v>3500</v>
      </c>
      <c r="T46" s="36">
        <f t="shared" si="12"/>
        <v>2.5480495457666974</v>
      </c>
      <c r="U46" s="11"/>
    </row>
    <row r="47" spans="1:21" x14ac:dyDescent="0.3">
      <c r="A47" s="19" t="s">
        <v>96</v>
      </c>
      <c r="B47" s="31">
        <v>14.75</v>
      </c>
      <c r="C47" s="68">
        <f>'3_Checkliste_Windmessung'!O49</f>
        <v>1</v>
      </c>
      <c r="D47" s="74">
        <f>'3_Checkliste_Windmessung'!P49</f>
        <v>9.6464573385424203E-6</v>
      </c>
      <c r="E47" s="33">
        <f t="shared" si="0"/>
        <v>24699.719314436945</v>
      </c>
      <c r="F47" s="36">
        <f t="shared" si="6"/>
        <v>2.0871995484924288</v>
      </c>
      <c r="G47" s="39">
        <f t="shared" si="1"/>
        <v>11114.873691496625</v>
      </c>
      <c r="H47" s="291">
        <f t="shared" si="7"/>
        <v>0.93923979682159298</v>
      </c>
      <c r="I47" s="33">
        <f t="shared" si="8"/>
        <v>3500</v>
      </c>
      <c r="J47" s="292">
        <f t="shared" si="9"/>
        <v>0.29576038199971061</v>
      </c>
      <c r="L47" s="19" t="s">
        <v>96</v>
      </c>
      <c r="M47" s="31">
        <v>14.75</v>
      </c>
      <c r="N47" s="74">
        <f t="shared" si="2"/>
        <v>4.5472471227311838E-5</v>
      </c>
      <c r="O47" s="33">
        <f t="shared" si="3"/>
        <v>24699.719314436945</v>
      </c>
      <c r="P47" s="36">
        <f t="shared" si="4"/>
        <v>9.838857736432093</v>
      </c>
      <c r="Q47" s="33">
        <f t="shared" si="5"/>
        <v>11114.873691496625</v>
      </c>
      <c r="R47" s="36">
        <f t="shared" si="10"/>
        <v>4.4274859813944412</v>
      </c>
      <c r="S47" s="33">
        <f t="shared" si="11"/>
        <v>3500</v>
      </c>
      <c r="T47" s="36">
        <f t="shared" si="12"/>
        <v>1.3941859678293809</v>
      </c>
      <c r="U47" s="11"/>
    </row>
    <row r="48" spans="1:21" x14ac:dyDescent="0.3">
      <c r="A48" s="19" t="s">
        <v>162</v>
      </c>
      <c r="B48" s="31">
        <v>15.25</v>
      </c>
      <c r="C48" s="68">
        <f>'3_Checkliste_Windmessung'!O50</f>
        <v>3</v>
      </c>
      <c r="D48" s="74">
        <f>'3_Checkliste_Windmessung'!P50</f>
        <v>2.8939372015627259E-5</v>
      </c>
      <c r="E48" s="33">
        <f t="shared" si="0"/>
        <v>27297.664268061548</v>
      </c>
      <c r="F48" s="36">
        <f t="shared" si="6"/>
        <v>6.9202008099614858</v>
      </c>
      <c r="G48" s="39">
        <f t="shared" si="1"/>
        <v>12283.948920627698</v>
      </c>
      <c r="H48" s="291">
        <f t="shared" si="7"/>
        <v>3.114090364482669</v>
      </c>
      <c r="I48" s="33">
        <f t="shared" si="8"/>
        <v>3500</v>
      </c>
      <c r="J48" s="292">
        <f t="shared" si="9"/>
        <v>0.88728114599913177</v>
      </c>
      <c r="L48" s="19" t="s">
        <v>162</v>
      </c>
      <c r="M48" s="31">
        <v>15.25</v>
      </c>
      <c r="N48" s="74">
        <f t="shared" si="2"/>
        <v>2.4311682630027925E-5</v>
      </c>
      <c r="O48" s="33">
        <f t="shared" si="3"/>
        <v>27297.664268061548</v>
      </c>
      <c r="P48" s="36">
        <f t="shared" si="4"/>
        <v>5.813592835981213</v>
      </c>
      <c r="Q48" s="33">
        <f t="shared" si="5"/>
        <v>12283.948920627698</v>
      </c>
      <c r="R48" s="36">
        <f t="shared" si="10"/>
        <v>2.616116776191546</v>
      </c>
      <c r="S48" s="33">
        <f t="shared" si="11"/>
        <v>3500</v>
      </c>
      <c r="T48" s="36">
        <f t="shared" si="12"/>
        <v>0.7453961894366562</v>
      </c>
      <c r="U48" s="11"/>
    </row>
    <row r="49" spans="1:21" x14ac:dyDescent="0.3">
      <c r="A49" s="19" t="s">
        <v>163</v>
      </c>
      <c r="B49" s="31">
        <v>15.75</v>
      </c>
      <c r="C49" s="68">
        <f>'3_Checkliste_Windmessung'!O51</f>
        <v>2</v>
      </c>
      <c r="D49" s="74">
        <f>'3_Checkliste_Windmessung'!P51</f>
        <v>1.9292914677084841E-5</v>
      </c>
      <c r="E49" s="33">
        <f t="shared" si="0"/>
        <v>30071.675854965772</v>
      </c>
      <c r="F49" s="36">
        <f t="shared" si="6"/>
        <v>5.0822916218492296</v>
      </c>
      <c r="G49" s="39">
        <f t="shared" si="1"/>
        <v>13532.254134734598</v>
      </c>
      <c r="H49" s="291">
        <f t="shared" si="7"/>
        <v>2.2870312298321527</v>
      </c>
      <c r="I49" s="33">
        <f t="shared" si="8"/>
        <v>3500</v>
      </c>
      <c r="J49" s="292">
        <f t="shared" si="9"/>
        <v>0.59152076399942122</v>
      </c>
      <c r="L49" s="19" t="s">
        <v>163</v>
      </c>
      <c r="M49" s="31">
        <v>15.75</v>
      </c>
      <c r="N49" s="74">
        <f t="shared" si="2"/>
        <v>1.2701860078052738E-5</v>
      </c>
      <c r="O49" s="33">
        <f t="shared" si="3"/>
        <v>30071.675854965772</v>
      </c>
      <c r="P49" s="36">
        <f t="shared" si="4"/>
        <v>3.3460240786356299</v>
      </c>
      <c r="Q49" s="33">
        <f t="shared" si="5"/>
        <v>13532.254134734598</v>
      </c>
      <c r="R49" s="36">
        <f t="shared" si="10"/>
        <v>1.5057108353860336</v>
      </c>
      <c r="S49" s="33">
        <f t="shared" si="11"/>
        <v>3500</v>
      </c>
      <c r="T49" s="36">
        <f t="shared" si="12"/>
        <v>0.38943902999309693</v>
      </c>
      <c r="U49" s="11"/>
    </row>
    <row r="50" spans="1:21" x14ac:dyDescent="0.3">
      <c r="A50" s="19" t="s">
        <v>164</v>
      </c>
      <c r="B50" s="31">
        <v>16.25</v>
      </c>
      <c r="C50" s="68">
        <f>'3_Checkliste_Windmessung'!O52</f>
        <v>1</v>
      </c>
      <c r="D50" s="74">
        <f>'3_Checkliste_Windmessung'!P52</f>
        <v>9.6464573385424203E-6</v>
      </c>
      <c r="E50" s="33">
        <f t="shared" si="0"/>
        <v>33027.526751650592</v>
      </c>
      <c r="F50" s="36">
        <f t="shared" si="6"/>
        <v>2.790923979592526</v>
      </c>
      <c r="G50" s="39">
        <f t="shared" si="1"/>
        <v>14862.387038242767</v>
      </c>
      <c r="H50" s="291">
        <f t="shared" si="7"/>
        <v>1.2559157908166367</v>
      </c>
      <c r="I50" s="33">
        <f t="shared" si="8"/>
        <v>3500</v>
      </c>
      <c r="J50" s="292">
        <f t="shared" si="9"/>
        <v>0.29576038199971061</v>
      </c>
      <c r="L50" s="19" t="s">
        <v>164</v>
      </c>
      <c r="M50" s="31">
        <v>16.25</v>
      </c>
      <c r="N50" s="74">
        <f t="shared" si="2"/>
        <v>6.4853688042413694E-6</v>
      </c>
      <c r="O50" s="33">
        <f t="shared" si="3"/>
        <v>33027.526751650592</v>
      </c>
      <c r="P50" s="36">
        <f t="shared" si="4"/>
        <v>1.876354259085282</v>
      </c>
      <c r="Q50" s="33">
        <f t="shared" si="5"/>
        <v>14862.387038242767</v>
      </c>
      <c r="R50" s="36">
        <f t="shared" si="10"/>
        <v>0.84435941658837677</v>
      </c>
      <c r="S50" s="33">
        <f t="shared" si="11"/>
        <v>3500</v>
      </c>
      <c r="T50" s="36">
        <f t="shared" si="12"/>
        <v>0.19884140753804039</v>
      </c>
      <c r="U50" s="11"/>
    </row>
    <row r="51" spans="1:21" x14ac:dyDescent="0.3">
      <c r="A51" s="19" t="s">
        <v>165</v>
      </c>
      <c r="B51" s="31">
        <v>16.75</v>
      </c>
      <c r="C51" s="68">
        <f>'3_Checkliste_Windmessung'!O53</f>
        <v>1</v>
      </c>
      <c r="D51" s="74">
        <f>'3_Checkliste_Windmessung'!P53</f>
        <v>9.6464573385424203E-6</v>
      </c>
      <c r="E51" s="33">
        <f t="shared" si="0"/>
        <v>36170.98963461697</v>
      </c>
      <c r="F51" s="36">
        <f t="shared" si="6"/>
        <v>3.0565559176119681</v>
      </c>
      <c r="G51" s="39">
        <f t="shared" si="1"/>
        <v>16276.945335577637</v>
      </c>
      <c r="H51" s="291">
        <f t="shared" si="7"/>
        <v>1.3754501629253855</v>
      </c>
      <c r="I51" s="33">
        <f t="shared" si="8"/>
        <v>3500</v>
      </c>
      <c r="J51" s="292">
        <f t="shared" si="9"/>
        <v>0.29576038199971061</v>
      </c>
      <c r="L51" s="19" t="s">
        <v>165</v>
      </c>
      <c r="M51" s="31">
        <v>16.75</v>
      </c>
      <c r="N51" s="74">
        <f t="shared" si="2"/>
        <v>3.2362616404325924E-6</v>
      </c>
      <c r="O51" s="33">
        <f t="shared" si="3"/>
        <v>36170.98963461697</v>
      </c>
      <c r="P51" s="36">
        <f t="shared" si="4"/>
        <v>1.0254349675587233</v>
      </c>
      <c r="Q51" s="33">
        <f t="shared" si="5"/>
        <v>16276.945335577637</v>
      </c>
      <c r="R51" s="36">
        <f t="shared" si="10"/>
        <v>0.46144573540142553</v>
      </c>
      <c r="S51" s="33">
        <f t="shared" si="11"/>
        <v>3500</v>
      </c>
      <c r="T51" s="36">
        <f t="shared" si="12"/>
        <v>9.9223781895663291E-2</v>
      </c>
      <c r="U51" s="11"/>
    </row>
    <row r="52" spans="1:21" x14ac:dyDescent="0.3">
      <c r="A52" s="19" t="s">
        <v>166</v>
      </c>
      <c r="B52" s="31">
        <v>17.25</v>
      </c>
      <c r="C52" s="68">
        <f>'3_Checkliste_Windmessung'!O54</f>
        <v>1</v>
      </c>
      <c r="D52" s="74">
        <f>'3_Checkliste_Windmessung'!P54</f>
        <v>9.6464573385424203E-6</v>
      </c>
      <c r="E52" s="33">
        <f t="shared" si="0"/>
        <v>39507.837180365896</v>
      </c>
      <c r="F52" s="36">
        <f t="shared" si="6"/>
        <v>3.3385294332706823</v>
      </c>
      <c r="G52" s="39">
        <f t="shared" si="1"/>
        <v>17778.526731164653</v>
      </c>
      <c r="H52" s="291">
        <f t="shared" si="7"/>
        <v>1.502338244971807</v>
      </c>
      <c r="I52" s="33">
        <f t="shared" si="8"/>
        <v>3500</v>
      </c>
      <c r="J52" s="292">
        <f t="shared" si="9"/>
        <v>0.29576038199971061</v>
      </c>
      <c r="L52" s="19" t="s">
        <v>166</v>
      </c>
      <c r="M52" s="31">
        <v>17.25</v>
      </c>
      <c r="N52" s="74">
        <f t="shared" si="2"/>
        <v>1.5784047146200954E-6</v>
      </c>
      <c r="O52" s="33">
        <f t="shared" si="3"/>
        <v>39507.837180365896</v>
      </c>
      <c r="P52" s="36">
        <f t="shared" si="4"/>
        <v>0.54626796267660982</v>
      </c>
      <c r="Q52" s="33">
        <f t="shared" si="5"/>
        <v>17778.526731164653</v>
      </c>
      <c r="R52" s="36">
        <f t="shared" si="10"/>
        <v>0.24582058320447442</v>
      </c>
      <c r="S52" s="33">
        <f t="shared" si="11"/>
        <v>3500</v>
      </c>
      <c r="T52" s="36">
        <f t="shared" si="12"/>
        <v>4.8393888550252132E-2</v>
      </c>
      <c r="U52" s="11"/>
    </row>
    <row r="53" spans="1:21" x14ac:dyDescent="0.3">
      <c r="A53" s="19" t="s">
        <v>167</v>
      </c>
      <c r="B53" s="31">
        <v>17.75</v>
      </c>
      <c r="C53" s="68">
        <f>'3_Checkliste_Windmessung'!O55</f>
        <v>1</v>
      </c>
      <c r="D53" s="74">
        <f>'3_Checkliste_Windmessung'!P55</f>
        <v>9.6464573385424203E-6</v>
      </c>
      <c r="E53" s="33">
        <f t="shared" si="0"/>
        <v>43043.842065398319</v>
      </c>
      <c r="F53" s="36">
        <f t="shared" si="6"/>
        <v>3.6373323348564055</v>
      </c>
      <c r="G53" s="39">
        <f t="shared" si="1"/>
        <v>19369.728929429246</v>
      </c>
      <c r="H53" s="291">
        <f t="shared" si="7"/>
        <v>1.6367995506853827</v>
      </c>
      <c r="I53" s="33">
        <f t="shared" si="8"/>
        <v>3500</v>
      </c>
      <c r="J53" s="292">
        <f t="shared" si="9"/>
        <v>0.29576038199971061</v>
      </c>
      <c r="L53" s="19" t="s">
        <v>167</v>
      </c>
      <c r="M53" s="31">
        <v>17.75</v>
      </c>
      <c r="N53" s="74">
        <f t="shared" si="2"/>
        <v>7.524558758538086E-7</v>
      </c>
      <c r="O53" s="33">
        <f t="shared" si="3"/>
        <v>43043.842065398319</v>
      </c>
      <c r="P53" s="36">
        <f t="shared" si="4"/>
        <v>0.28372406488134699</v>
      </c>
      <c r="Q53" s="33">
        <f t="shared" si="5"/>
        <v>19369.728929429246</v>
      </c>
      <c r="R53" s="36">
        <f t="shared" si="10"/>
        <v>0.12767582919660617</v>
      </c>
      <c r="S53" s="33">
        <f t="shared" si="11"/>
        <v>3500</v>
      </c>
      <c r="T53" s="36">
        <f t="shared" si="12"/>
        <v>2.3070297153677772E-2</v>
      </c>
      <c r="U53" s="11"/>
    </row>
    <row r="54" spans="1:21" x14ac:dyDescent="0.3">
      <c r="A54" s="19" t="s">
        <v>168</v>
      </c>
      <c r="B54" s="31">
        <v>18.25</v>
      </c>
      <c r="C54" s="68">
        <f>'3_Checkliste_Windmessung'!O56</f>
        <v>0</v>
      </c>
      <c r="D54" s="74">
        <f>'3_Checkliste_Windmessung'!P56</f>
        <v>0</v>
      </c>
      <c r="E54" s="33">
        <f t="shared" si="0"/>
        <v>46784.776966215228</v>
      </c>
      <c r="F54" s="36">
        <f t="shared" si="6"/>
        <v>0</v>
      </c>
      <c r="G54" s="39">
        <f t="shared" si="1"/>
        <v>21053.149634796853</v>
      </c>
      <c r="H54" s="291">
        <f t="shared" si="7"/>
        <v>0</v>
      </c>
      <c r="I54" s="33">
        <f t="shared" si="8"/>
        <v>3500</v>
      </c>
      <c r="J54" s="292">
        <f t="shared" si="9"/>
        <v>0</v>
      </c>
      <c r="L54" s="19" t="s">
        <v>168</v>
      </c>
      <c r="M54" s="31">
        <v>18.25</v>
      </c>
      <c r="N54" s="74">
        <f t="shared" si="2"/>
        <v>3.5063229503743539E-7</v>
      </c>
      <c r="O54" s="33">
        <f t="shared" si="3"/>
        <v>46784.776966215228</v>
      </c>
      <c r="P54" s="36">
        <f t="shared" si="4"/>
        <v>0.14370126259139246</v>
      </c>
      <c r="Q54" s="33">
        <f t="shared" si="5"/>
        <v>21053.149634796853</v>
      </c>
      <c r="R54" s="36">
        <f t="shared" si="10"/>
        <v>6.4665568166126605E-2</v>
      </c>
      <c r="S54" s="33">
        <f t="shared" si="11"/>
        <v>3500</v>
      </c>
      <c r="T54" s="36">
        <f t="shared" si="12"/>
        <v>1.0750386165847768E-2</v>
      </c>
      <c r="U54" s="11"/>
    </row>
    <row r="55" spans="1:21" x14ac:dyDescent="0.3">
      <c r="A55" s="19" t="s">
        <v>169</v>
      </c>
      <c r="B55" s="31">
        <v>18.75</v>
      </c>
      <c r="C55" s="68">
        <f>'3_Checkliste_Windmessung'!O57</f>
        <v>1</v>
      </c>
      <c r="D55" s="74">
        <f>'3_Checkliste_Windmessung'!P57</f>
        <v>9.6464573385424203E-6</v>
      </c>
      <c r="E55" s="33">
        <f t="shared" si="0"/>
        <v>50736.414559317585</v>
      </c>
      <c r="F55" s="36">
        <f t="shared" si="6"/>
        <v>4.2873775289598424</v>
      </c>
      <c r="G55" s="39">
        <f t="shared" si="1"/>
        <v>22831.386551692915</v>
      </c>
      <c r="H55" s="291">
        <f t="shared" si="7"/>
        <v>1.9293198880319291</v>
      </c>
      <c r="I55" s="33">
        <f t="shared" si="8"/>
        <v>3500</v>
      </c>
      <c r="J55" s="292">
        <f t="shared" si="9"/>
        <v>0.29576038199971061</v>
      </c>
      <c r="L55" s="19" t="s">
        <v>169</v>
      </c>
      <c r="M55" s="31">
        <v>18.75</v>
      </c>
      <c r="N55" s="74">
        <f t="shared" si="2"/>
        <v>1.5971644582365873E-7</v>
      </c>
      <c r="O55" s="33">
        <f t="shared" si="3"/>
        <v>50736.414559317585</v>
      </c>
      <c r="P55" s="36">
        <f t="shared" si="4"/>
        <v>7.0986132711509456E-2</v>
      </c>
      <c r="Q55" s="33">
        <f t="shared" si="5"/>
        <v>22831.386551692915</v>
      </c>
      <c r="R55" s="36">
        <f t="shared" si="10"/>
        <v>3.1943759720179252E-2</v>
      </c>
      <c r="S55" s="33">
        <f t="shared" si="11"/>
        <v>3500</v>
      </c>
      <c r="T55" s="36">
        <f t="shared" si="12"/>
        <v>4.8969062289533766E-3</v>
      </c>
      <c r="U55" s="11"/>
    </row>
    <row r="56" spans="1:21" x14ac:dyDescent="0.3">
      <c r="A56" s="19" t="s">
        <v>170</v>
      </c>
      <c r="B56" s="31">
        <v>19.25</v>
      </c>
      <c r="C56" s="68">
        <f>'3_Checkliste_Windmessung'!O58</f>
        <v>0</v>
      </c>
      <c r="D56" s="74">
        <f>'3_Checkliste_Windmessung'!P58</f>
        <v>0</v>
      </c>
      <c r="E56" s="33">
        <f t="shared" si="0"/>
        <v>54904.527521206364</v>
      </c>
      <c r="F56" s="36">
        <f t="shared" si="6"/>
        <v>0</v>
      </c>
      <c r="G56" s="39">
        <f t="shared" si="1"/>
        <v>24707.037384542866</v>
      </c>
      <c r="H56" s="291">
        <f t="shared" si="7"/>
        <v>0</v>
      </c>
      <c r="I56" s="33">
        <f t="shared" si="8"/>
        <v>3500</v>
      </c>
      <c r="J56" s="292">
        <f t="shared" si="9"/>
        <v>0</v>
      </c>
      <c r="L56" s="19" t="s">
        <v>170</v>
      </c>
      <c r="M56" s="31">
        <v>19.25</v>
      </c>
      <c r="N56" s="74">
        <f t="shared" si="2"/>
        <v>7.1119938637942379E-8</v>
      </c>
      <c r="O56" s="33">
        <f t="shared" si="3"/>
        <v>54904.527521206364</v>
      </c>
      <c r="P56" s="36">
        <f t="shared" si="4"/>
        <v>3.4206106063499914E-2</v>
      </c>
      <c r="Q56" s="33">
        <f t="shared" si="5"/>
        <v>24707.037384542866</v>
      </c>
      <c r="R56" s="36">
        <f t="shared" si="10"/>
        <v>1.5392747728574964E-2</v>
      </c>
      <c r="S56" s="33">
        <f t="shared" si="11"/>
        <v>3500</v>
      </c>
      <c r="T56" s="36">
        <f t="shared" si="12"/>
        <v>2.1805373186393135E-3</v>
      </c>
      <c r="U56" s="11"/>
    </row>
    <row r="57" spans="1:21" x14ac:dyDescent="0.3">
      <c r="A57" s="19" t="s">
        <v>171</v>
      </c>
      <c r="B57" s="31">
        <v>19.75</v>
      </c>
      <c r="C57" s="68">
        <f>'3_Checkliste_Windmessung'!O59</f>
        <v>1</v>
      </c>
      <c r="D57" s="74">
        <f>'3_Checkliste_Windmessung'!P59</f>
        <v>9.6464573385424203E-6</v>
      </c>
      <c r="E57" s="33">
        <f t="shared" si="0"/>
        <v>59294.888528382537</v>
      </c>
      <c r="F57" s="36">
        <f t="shared" si="6"/>
        <v>5.0105939662241932</v>
      </c>
      <c r="G57" s="39">
        <f t="shared" si="1"/>
        <v>26682.699837772143</v>
      </c>
      <c r="H57" s="291">
        <f t="shared" si="7"/>
        <v>2.2547672848008875</v>
      </c>
      <c r="I57" s="33">
        <f t="shared" si="8"/>
        <v>3500</v>
      </c>
      <c r="J57" s="292">
        <f t="shared" si="9"/>
        <v>0.29576038199971061</v>
      </c>
      <c r="L57" s="19" t="s">
        <v>171</v>
      </c>
      <c r="M57" s="31">
        <v>19.75</v>
      </c>
      <c r="N57" s="74">
        <f t="shared" si="2"/>
        <v>3.0959430853120968E-8</v>
      </c>
      <c r="O57" s="33">
        <f t="shared" si="3"/>
        <v>59294.888528382537</v>
      </c>
      <c r="P57" s="36">
        <f t="shared" si="4"/>
        <v>1.6081047371720659E-2</v>
      </c>
      <c r="Q57" s="33">
        <f t="shared" si="5"/>
        <v>26682.699837772143</v>
      </c>
      <c r="R57" s="36">
        <f t="shared" si="10"/>
        <v>7.2364713172742975E-3</v>
      </c>
      <c r="S57" s="33">
        <f t="shared" si="11"/>
        <v>3500</v>
      </c>
      <c r="T57" s="36">
        <f t="shared" si="12"/>
        <v>9.492161499566889E-4</v>
      </c>
      <c r="U57" s="11"/>
    </row>
    <row r="58" spans="1:21" ht="15" thickBot="1" x14ac:dyDescent="0.35">
      <c r="A58" s="20" t="s">
        <v>172</v>
      </c>
      <c r="B58" s="350">
        <v>20</v>
      </c>
      <c r="C58" s="69">
        <f>'3_Checkliste_Windmessung'!O60</f>
        <v>1</v>
      </c>
      <c r="D58" s="78">
        <f>'3_Checkliste_Windmessung'!P60</f>
        <v>9.6464573385424203E-6</v>
      </c>
      <c r="E58" s="34">
        <f t="shared" si="0"/>
        <v>61575.216010359953</v>
      </c>
      <c r="F58" s="37">
        <f t="shared" si="6"/>
        <v>5.2032884025539294</v>
      </c>
      <c r="G58" s="40">
        <f t="shared" si="1"/>
        <v>27708.847204661979</v>
      </c>
      <c r="H58" s="294">
        <f t="shared" si="7"/>
        <v>2.3414797811492685</v>
      </c>
      <c r="I58" s="33">
        <f t="shared" si="8"/>
        <v>3500</v>
      </c>
      <c r="J58" s="296">
        <f t="shared" si="9"/>
        <v>0.29576038199971061</v>
      </c>
      <c r="L58" s="20" t="s">
        <v>172</v>
      </c>
      <c r="M58" s="350">
        <v>20</v>
      </c>
      <c r="N58" s="78">
        <f t="shared" si="2"/>
        <v>2.0253884836039009E-8</v>
      </c>
      <c r="O58" s="34">
        <f t="shared" si="3"/>
        <v>61575.216010359953</v>
      </c>
      <c r="P58" s="37">
        <f t="shared" si="4"/>
        <v>1.0924923044333771E-2</v>
      </c>
      <c r="Q58" s="34">
        <f t="shared" si="5"/>
        <v>27708.847204661979</v>
      </c>
      <c r="R58" s="37">
        <f t="shared" si="10"/>
        <v>4.916215369950197E-3</v>
      </c>
      <c r="S58" s="33">
        <f t="shared" si="11"/>
        <v>3500</v>
      </c>
      <c r="T58" s="37">
        <f t="shared" si="12"/>
        <v>6.2098410907295606E-4</v>
      </c>
      <c r="U58" s="11"/>
    </row>
    <row r="59" spans="1:21" x14ac:dyDescent="0.3">
      <c r="A59" s="95"/>
      <c r="B59" s="41"/>
      <c r="C59" s="41"/>
      <c r="D59" s="41"/>
      <c r="E59" s="200" t="s">
        <v>146</v>
      </c>
      <c r="F59" s="201">
        <f>SUM(F18:F58)</f>
        <v>6658.098225879874</v>
      </c>
      <c r="G59" s="200" t="s">
        <v>146</v>
      </c>
      <c r="H59" s="201">
        <f>SUM(H18:H58)</f>
        <v>2996.1442016459432</v>
      </c>
      <c r="I59" s="200" t="s">
        <v>146</v>
      </c>
      <c r="J59" s="202">
        <f>SUM(J18:J58)</f>
        <v>2832.8302991024329</v>
      </c>
      <c r="L59" s="95"/>
      <c r="M59" s="198"/>
      <c r="N59" s="199"/>
      <c r="O59" s="200" t="s">
        <v>146</v>
      </c>
      <c r="P59" s="201">
        <f>SUM(P18:P58)</f>
        <v>9722.6388402251123</v>
      </c>
      <c r="Q59" s="200" t="s">
        <v>146</v>
      </c>
      <c r="R59" s="201">
        <f>SUM(R18:R58)</f>
        <v>4375.1874781013012</v>
      </c>
      <c r="S59" s="200" t="s">
        <v>146</v>
      </c>
      <c r="T59" s="202">
        <f>SUM(T18:T58)</f>
        <v>4140.843356859049</v>
      </c>
      <c r="U59" s="12"/>
    </row>
    <row r="60" spans="1:21" ht="16.2" thickBot="1" x14ac:dyDescent="0.4">
      <c r="A60" s="332" t="s">
        <v>483</v>
      </c>
      <c r="B60" s="115"/>
      <c r="C60" s="90"/>
      <c r="D60" s="90"/>
      <c r="E60" s="203" t="s">
        <v>146</v>
      </c>
      <c r="F60" s="204">
        <f>F59*$H$10</f>
        <v>6392.939464034208</v>
      </c>
      <c r="G60" s="203" t="s">
        <v>146</v>
      </c>
      <c r="H60" s="204">
        <f>H59*$H$10</f>
        <v>2876.8227588153936</v>
      </c>
      <c r="I60" s="203" t="s">
        <v>146</v>
      </c>
      <c r="J60" s="205">
        <f>J59*$H$10</f>
        <v>2720.0128324406787</v>
      </c>
      <c r="L60" s="332" t="s">
        <v>484</v>
      </c>
      <c r="M60" s="90"/>
      <c r="N60" s="90"/>
      <c r="O60" s="203" t="s">
        <v>146</v>
      </c>
      <c r="P60" s="204">
        <f>P59*$H$10</f>
        <v>9335.4347484131467</v>
      </c>
      <c r="Q60" s="203" t="s">
        <v>146</v>
      </c>
      <c r="R60" s="204">
        <f>R59*$H$10</f>
        <v>4200.9456367859166</v>
      </c>
      <c r="S60" s="203" t="s">
        <v>146</v>
      </c>
      <c r="T60" s="205">
        <f>T59*$H$10</f>
        <v>3975.9342701721375</v>
      </c>
      <c r="U60" s="12"/>
    </row>
    <row r="61" spans="1:21" ht="15" thickBot="1" x14ac:dyDescent="0.35">
      <c r="B61" s="17"/>
      <c r="C61" s="6"/>
    </row>
    <row r="62" spans="1:21" x14ac:dyDescent="0.3">
      <c r="B62" s="17"/>
      <c r="C62" s="6"/>
      <c r="H62" s="95"/>
      <c r="I62" s="333" t="s">
        <v>211</v>
      </c>
      <c r="J62" s="195">
        <f>J60/($H$5*$C$4)</f>
        <v>8.8715356570146078E-2</v>
      </c>
      <c r="R62" s="95"/>
      <c r="S62" s="194" t="s">
        <v>211</v>
      </c>
      <c r="T62" s="195">
        <f>T60/($H$5*$C$4)</f>
        <v>0.12967822146680161</v>
      </c>
    </row>
    <row r="63" spans="1:21" ht="15" thickBot="1" x14ac:dyDescent="0.35">
      <c r="B63" s="17"/>
      <c r="C63" s="6"/>
      <c r="H63" s="88"/>
      <c r="I63" s="334" t="s">
        <v>524</v>
      </c>
      <c r="J63" s="197">
        <f>J60/($C$4)</f>
        <v>777.14652355447959</v>
      </c>
      <c r="R63" s="88"/>
      <c r="S63" s="196" t="s">
        <v>524</v>
      </c>
      <c r="T63" s="197">
        <f>T60/($C$4)</f>
        <v>1135.9812200491822</v>
      </c>
    </row>
    <row r="64" spans="1:21" ht="15" thickBot="1" x14ac:dyDescent="0.35">
      <c r="B64" s="10"/>
    </row>
    <row r="65" spans="1:23" ht="187.8" thickBot="1" x14ac:dyDescent="0.35">
      <c r="A65" s="24" t="s">
        <v>66</v>
      </c>
      <c r="B65" s="25" t="s">
        <v>143</v>
      </c>
      <c r="C65" s="25" t="s">
        <v>418</v>
      </c>
      <c r="D65" s="25" t="str">
        <f>E17</f>
        <v>dem Wind entnehmbare Leistung pro Klasse PW</v>
      </c>
      <c r="E65" s="25" t="s">
        <v>144</v>
      </c>
      <c r="F65" s="24" t="s">
        <v>210</v>
      </c>
      <c r="G65" s="25" t="str">
        <f>H17</f>
        <v>Klassenenergieertrag nach relativer Häufigkeit der vW (Berücksichtigung  WI &amp; Leistungsbeiwert)</v>
      </c>
      <c r="H65" s="25" t="str">
        <f>I17</f>
        <v>dem Wind entnehmbare Leistung pro Klasse (Berücksichtigung Leistungsbeiwert, Nennleistung und Ein- &amp; Abschaltgeschwindigkeit)</v>
      </c>
      <c r="I65" s="25" t="str">
        <f>J17</f>
        <v>Klassenenergieertrag nach relativer Häufigkeit der vW (Berücksichtigung WI &amp; Leistungsbeiwert, Nennleistung und Ein- &amp; Abschaltgeschwindigkeit)</v>
      </c>
    </row>
    <row r="66" spans="1:23" x14ac:dyDescent="0.3">
      <c r="A66" s="21" t="s">
        <v>97</v>
      </c>
      <c r="B66" s="28">
        <v>0.25</v>
      </c>
      <c r="C66" s="70">
        <f>IF('4_Windgeschwindigkeit Rotorhöhe'!$B$1="Windmessung",D18,N18)</f>
        <v>1.096128073598689E-2</v>
      </c>
      <c r="D66" s="71">
        <f>IF('4_Windgeschwindigkeit Rotorhöhe'!$B$1="Windmessung",E18,O18)</f>
        <v>0.12026409377023428</v>
      </c>
      <c r="E66" s="72">
        <f>IF('4_Windgeschwindigkeit Rotorhöhe'!$B$1="Windmessung",F18,P18)</f>
        <v>1.1547856809845408E-2</v>
      </c>
      <c r="F66" s="73">
        <f>IF('4_Windgeschwindigkeit Rotorhöhe'!$B$1="Windmessung",G18,Q18)</f>
        <v>5.4118842196605427E-2</v>
      </c>
      <c r="G66" s="73">
        <f>IF('4_Windgeschwindigkeit Rotorhöhe'!$B$1="Windmessung",H18,R18)</f>
        <v>5.1965355644304342E-3</v>
      </c>
      <c r="H66" s="73">
        <f>IF('4_Windgeschwindigkeit Rotorhöhe'!$B$1="Windmessung",I18,S18)</f>
        <v>0</v>
      </c>
      <c r="I66" s="73">
        <f>IF('4_Windgeschwindigkeit Rotorhöhe'!$B$1="Windmessung",J18,T18)</f>
        <v>0</v>
      </c>
      <c r="W66" s="235"/>
    </row>
    <row r="67" spans="1:23" x14ac:dyDescent="0.3">
      <c r="A67" s="19" t="s">
        <v>68</v>
      </c>
      <c r="B67" s="29">
        <v>0.75</v>
      </c>
      <c r="C67" s="74">
        <f>IF('4_Windgeschwindigkeit Rotorhöhe'!$B$1="Windmessung",D19,N19)</f>
        <v>3.216884811353983E-2</v>
      </c>
      <c r="D67" s="75">
        <f>IF('4_Windgeschwindigkeit Rotorhöhe'!$B$1="Windmessung",E19,O19)</f>
        <v>3.2471305317963255</v>
      </c>
      <c r="E67" s="76">
        <f>IF('4_Windgeschwindigkeit Rotorhöhe'!$B$1="Windmessung",F19,P19)</f>
        <v>0.91503849220801781</v>
      </c>
      <c r="F67" s="77">
        <f>IF('4_Windgeschwindigkeit Rotorhöhe'!$B$1="Windmessung",G19,Q19)</f>
        <v>1.4612087393083466</v>
      </c>
      <c r="G67" s="77">
        <f>IF('4_Windgeschwindigkeit Rotorhöhe'!$B$1="Windmessung",H19,R19)</f>
        <v>0.41176732149360806</v>
      </c>
      <c r="H67" s="77">
        <f>IF('4_Windgeschwindigkeit Rotorhöhe'!$B$1="Windmessung",I19,S19)</f>
        <v>0</v>
      </c>
      <c r="I67" s="77">
        <f>IF('4_Windgeschwindigkeit Rotorhöhe'!$B$1="Windmessung",J19,T19)</f>
        <v>0</v>
      </c>
      <c r="W67" s="235"/>
    </row>
    <row r="68" spans="1:23" x14ac:dyDescent="0.3">
      <c r="A68" s="19" t="s">
        <v>69</v>
      </c>
      <c r="B68" s="29">
        <v>1.25</v>
      </c>
      <c r="C68" s="74">
        <f>IF('4_Windgeschwindigkeit Rotorhöhe'!$B$1="Windmessung",D20,N20)</f>
        <v>5.1308600501871707E-2</v>
      </c>
      <c r="D68" s="75">
        <f>IF('4_Windgeschwindigkeit Rotorhöhe'!$B$1="Windmessung",E20,O20)</f>
        <v>15.033011721279285</v>
      </c>
      <c r="E68" s="76">
        <f>IF('4_Windgeschwindigkeit Rotorhöhe'!$B$1="Windmessung",F20,P20)</f>
        <v>6.7567876644643645</v>
      </c>
      <c r="F68" s="77">
        <f>IF('4_Windgeschwindigkeit Rotorhöhe'!$B$1="Windmessung",G20,Q20)</f>
        <v>6.7648552745756785</v>
      </c>
      <c r="G68" s="77">
        <f>IF('4_Windgeschwindigkeit Rotorhöhe'!$B$1="Windmessung",H20,R20)</f>
        <v>3.040554449008964</v>
      </c>
      <c r="H68" s="77">
        <f>IF('4_Windgeschwindigkeit Rotorhöhe'!$B$1="Windmessung",I20,S20)</f>
        <v>0</v>
      </c>
      <c r="I68" s="77">
        <f>IF('4_Windgeschwindigkeit Rotorhöhe'!$B$1="Windmessung",J20,T20)</f>
        <v>0</v>
      </c>
      <c r="W68" s="235"/>
    </row>
    <row r="69" spans="1:23" x14ac:dyDescent="0.3">
      <c r="A69" s="19" t="s">
        <v>70</v>
      </c>
      <c r="B69" s="29">
        <v>1.75</v>
      </c>
      <c r="C69" s="74">
        <f>IF('4_Windgeschwindigkeit Rotorhöhe'!$B$1="Windmessung",D21,N21)</f>
        <v>6.7247643198203477E-2</v>
      </c>
      <c r="D69" s="75">
        <f>IF('4_Windgeschwindigkeit Rotorhöhe'!$B$1="Windmessung",E21,O21)</f>
        <v>41.250584163190361</v>
      </c>
      <c r="E69" s="76">
        <f>IF('4_Windgeschwindigkeit Rotorhöhe'!$B$1="Windmessung",F21,P21)</f>
        <v>24.300279993987512</v>
      </c>
      <c r="F69" s="77">
        <f>IF('4_Windgeschwindigkeit Rotorhöhe'!$B$1="Windmessung",G21,Q21)</f>
        <v>18.562762873435663</v>
      </c>
      <c r="G69" s="77">
        <f>IF('4_Windgeschwindigkeit Rotorhöhe'!$B$1="Windmessung",H21,R21)</f>
        <v>10.93512599729438</v>
      </c>
      <c r="H69" s="77">
        <f>IF('4_Windgeschwindigkeit Rotorhöhe'!$B$1="Windmessung",I21,S21)</f>
        <v>0</v>
      </c>
      <c r="I69" s="77">
        <f>IF('4_Windgeschwindigkeit Rotorhöhe'!$B$1="Windmessung",J21,T21)</f>
        <v>0</v>
      </c>
      <c r="W69" s="235"/>
    </row>
    <row r="70" spans="1:23" x14ac:dyDescent="0.3">
      <c r="A70" s="19" t="s">
        <v>71</v>
      </c>
      <c r="B70" s="29">
        <v>2.25</v>
      </c>
      <c r="C70" s="74">
        <f>IF('4_Windgeschwindigkeit Rotorhöhe'!$B$1="Windmessung",D22,N22)</f>
        <v>7.9183256048995787E-2</v>
      </c>
      <c r="D70" s="75">
        <f>IF('4_Windgeschwindigkeit Rotorhöhe'!$B$1="Windmessung",E22,O22)</f>
        <v>87.672524358500795</v>
      </c>
      <c r="E70" s="76">
        <f>IF('4_Windgeschwindigkeit Rotorhöhe'!$B$1="Windmessung",F22,P22)</f>
        <v>60.813636475931062</v>
      </c>
      <c r="F70" s="77">
        <f>IF('4_Windgeschwindigkeit Rotorhöhe'!$B$1="Windmessung",G22,Q22)</f>
        <v>39.452635961325356</v>
      </c>
      <c r="G70" s="77">
        <f>IF('4_Windgeschwindigkeit Rotorhöhe'!$B$1="Windmessung",H22,R22)</f>
        <v>27.366136414168977</v>
      </c>
      <c r="H70" s="77">
        <f>IF('4_Windgeschwindigkeit Rotorhöhe'!$B$1="Windmessung",I22,S22)</f>
        <v>0</v>
      </c>
      <c r="I70" s="77">
        <f>IF('4_Windgeschwindigkeit Rotorhöhe'!$B$1="Windmessung",J22,T22)</f>
        <v>0</v>
      </c>
      <c r="W70" s="235"/>
    </row>
    <row r="71" spans="1:23" ht="14.4" customHeight="1" x14ac:dyDescent="0.3">
      <c r="A71" s="19" t="s">
        <v>72</v>
      </c>
      <c r="B71" s="29">
        <v>2.75</v>
      </c>
      <c r="C71" s="74">
        <f>IF('4_Windgeschwindigkeit Rotorhöhe'!$B$1="Windmessung",D23,N23)</f>
        <v>8.6705830974333459E-2</v>
      </c>
      <c r="D71" s="75">
        <f>IF('4_Windgeschwindigkeit Rotorhöhe'!$B$1="Windmessung",E23,O23)</f>
        <v>160.07150880818182</v>
      </c>
      <c r="E71" s="76">
        <f>IF('4_Windgeschwindigkeit Rotorhöhe'!$B$1="Windmessung",F23,P23)</f>
        <v>121.58120671399178</v>
      </c>
      <c r="F71" s="77">
        <f>IF('4_Windgeschwindigkeit Rotorhöhe'!$B$1="Windmessung",G23,Q23)</f>
        <v>72.032178963681815</v>
      </c>
      <c r="G71" s="77">
        <f>IF('4_Windgeschwindigkeit Rotorhöhe'!$B$1="Windmessung",H23,R23)</f>
        <v>54.711543021296301</v>
      </c>
      <c r="H71" s="77">
        <f>IF('4_Windgeschwindigkeit Rotorhöhe'!$B$1="Windmessung",I23,S23)</f>
        <v>0</v>
      </c>
      <c r="I71" s="77">
        <f>IF('4_Windgeschwindigkeit Rotorhöhe'!$B$1="Windmessung",J23,T23)</f>
        <v>0</v>
      </c>
      <c r="W71" s="235"/>
    </row>
    <row r="72" spans="1:23" x14ac:dyDescent="0.3">
      <c r="A72" s="19" t="s">
        <v>73</v>
      </c>
      <c r="B72" s="29">
        <v>3.25</v>
      </c>
      <c r="C72" s="74">
        <f>IF('4_Windgeschwindigkeit Rotorhöhe'!$B$1="Windmessung",D24,N24)</f>
        <v>8.9808346287819016E-2</v>
      </c>
      <c r="D72" s="75">
        <f>IF('4_Windgeschwindigkeit Rotorhöhe'!$B$1="Windmessung",E24,O24)</f>
        <v>264.22021401320472</v>
      </c>
      <c r="E72" s="76">
        <f>IF('4_Windgeschwindigkeit Rotorhöhe'!$B$1="Windmessung",F24,P24)</f>
        <v>207.86762097273439</v>
      </c>
      <c r="F72" s="77">
        <f>IF('4_Windgeschwindigkeit Rotorhöhe'!$B$1="Windmessung",G24,Q24)</f>
        <v>118.89909630594212</v>
      </c>
      <c r="G72" s="77">
        <f>IF('4_Windgeschwindigkeit Rotorhöhe'!$B$1="Windmessung",H24,R24)</f>
        <v>93.540429437730481</v>
      </c>
      <c r="H72" s="77">
        <f>IF('4_Windgeschwindigkeit Rotorhöhe'!$B$1="Windmessung",I24,S24)</f>
        <v>118.89909630594212</v>
      </c>
      <c r="I72" s="77">
        <f>IF('4_Windgeschwindigkeit Rotorhöhe'!$B$1="Windmessung",J24,T24)</f>
        <v>93.540429437730481</v>
      </c>
      <c r="W72" s="235"/>
    </row>
    <row r="73" spans="1:23" ht="14.4" customHeight="1" x14ac:dyDescent="0.3">
      <c r="A73" s="19" t="s">
        <v>74</v>
      </c>
      <c r="B73" s="29">
        <v>3.75</v>
      </c>
      <c r="C73" s="74">
        <f>IF('4_Windgeschwindigkeit Rotorhöhe'!$B$1="Windmessung",D25,N25)</f>
        <v>8.8845469823851844E-2</v>
      </c>
      <c r="D73" s="75">
        <f>IF('4_Windgeschwindigkeit Rotorhöhe'!$B$1="Windmessung",E25,O25)</f>
        <v>405.8913164745407</v>
      </c>
      <c r="E73" s="76">
        <f>IF('4_Windgeschwindigkeit Rotorhöhe'!$B$1="Windmessung",F25,P25)</f>
        <v>315.8996572561162</v>
      </c>
      <c r="F73" s="77">
        <f>IF('4_Windgeschwindigkeit Rotorhöhe'!$B$1="Windmessung",G25,Q25)</f>
        <v>182.65109241354332</v>
      </c>
      <c r="G73" s="77">
        <f>IF('4_Windgeschwindigkeit Rotorhöhe'!$B$1="Windmessung",H25,R25)</f>
        <v>142.15484576525228</v>
      </c>
      <c r="H73" s="77">
        <f>IF('4_Windgeschwindigkeit Rotorhöhe'!$B$1="Windmessung",I25,S25)</f>
        <v>182.65109241354332</v>
      </c>
      <c r="I73" s="77">
        <f>IF('4_Windgeschwindigkeit Rotorhöhe'!$B$1="Windmessung",J25,T25)</f>
        <v>142.15484576525228</v>
      </c>
      <c r="W73" s="235"/>
    </row>
    <row r="74" spans="1:23" x14ac:dyDescent="0.3">
      <c r="A74" s="19" t="s">
        <v>76</v>
      </c>
      <c r="B74" s="29">
        <v>4.25</v>
      </c>
      <c r="C74" s="74">
        <f>IF('4_Windgeschwindigkeit Rotorhöhe'!$B$1="Windmessung",D26,N26)</f>
        <v>8.445329281766728E-2</v>
      </c>
      <c r="D74" s="75">
        <f>IF('4_Windgeschwindigkeit Rotorhöhe'!$B$1="Windmessung",E26,O26)</f>
        <v>590.85749269316102</v>
      </c>
      <c r="E74" s="76">
        <f>IF('4_Windgeschwindigkeit Rotorhöhe'!$B$1="Windmessung",F26,P26)</f>
        <v>437.12278099281133</v>
      </c>
      <c r="F74" s="77">
        <f>IF('4_Windgeschwindigkeit Rotorhöhe'!$B$1="Windmessung",G26,Q26)</f>
        <v>265.88587171192245</v>
      </c>
      <c r="G74" s="77">
        <f>IF('4_Windgeschwindigkeit Rotorhöhe'!$B$1="Windmessung",H26,R26)</f>
        <v>196.70525144676506</v>
      </c>
      <c r="H74" s="77">
        <f>IF('4_Windgeschwindigkeit Rotorhöhe'!$B$1="Windmessung",I26,S26)</f>
        <v>265.88587171192245</v>
      </c>
      <c r="I74" s="77">
        <f>IF('4_Windgeschwindigkeit Rotorhöhe'!$B$1="Windmessung",J26,T26)</f>
        <v>196.70525144676506</v>
      </c>
      <c r="W74" s="235"/>
    </row>
    <row r="75" spans="1:23" x14ac:dyDescent="0.3">
      <c r="A75" s="19" t="s">
        <v>75</v>
      </c>
      <c r="B75" s="29">
        <v>4.75</v>
      </c>
      <c r="C75" s="74">
        <f>IF('4_Windgeschwindigkeit Rotorhöhe'!$B$1="Windmessung",D27,N27)</f>
        <v>7.7445797829510443E-2</v>
      </c>
      <c r="D75" s="75">
        <f>IF('4_Windgeschwindigkeit Rotorhöhe'!$B$1="Windmessung",E27,O27)</f>
        <v>824.8914191700369</v>
      </c>
      <c r="E75" s="76">
        <f>IF('4_Windgeschwindigkeit Rotorhöhe'!$B$1="Windmessung",F27,P27)</f>
        <v>559.6271169437839</v>
      </c>
      <c r="F75" s="77">
        <f>IF('4_Windgeschwindigkeit Rotorhöhe'!$B$1="Windmessung",G27,Q27)</f>
        <v>371.20113862651664</v>
      </c>
      <c r="G75" s="77">
        <f>IF('4_Windgeschwindigkeit Rotorhöhe'!$B$1="Windmessung",H27,R27)</f>
        <v>251.8322026247028</v>
      </c>
      <c r="H75" s="77">
        <f>IF('4_Windgeschwindigkeit Rotorhöhe'!$B$1="Windmessung",I27,S27)</f>
        <v>371.20113862651664</v>
      </c>
      <c r="I75" s="77">
        <f>IF('4_Windgeschwindigkeit Rotorhöhe'!$B$1="Windmessung",J27,T27)</f>
        <v>251.8322026247028</v>
      </c>
      <c r="W75" s="235"/>
    </row>
    <row r="76" spans="1:23" x14ac:dyDescent="0.3">
      <c r="A76" s="19" t="s">
        <v>77</v>
      </c>
      <c r="B76" s="29">
        <v>5.25</v>
      </c>
      <c r="C76" s="74">
        <f>IF('4_Windgeschwindigkeit Rotorhöhe'!$B$1="Windmessung",D28,N28)</f>
        <v>6.8705752052452468E-2</v>
      </c>
      <c r="D76" s="75">
        <f>IF('4_Windgeschwindigkeit Rotorhöhe'!$B$1="Windmessung",E28,O28)</f>
        <v>1113.7657724061396</v>
      </c>
      <c r="E76" s="76">
        <f>IF('4_Windgeschwindigkeit Rotorhöhe'!$B$1="Windmessung",F28,P28)</f>
        <v>670.33372743017333</v>
      </c>
      <c r="F76" s="77">
        <f>IF('4_Windgeschwindigkeit Rotorhöhe'!$B$1="Windmessung",G28,Q28)</f>
        <v>501.19459758276281</v>
      </c>
      <c r="G76" s="77">
        <f>IF('4_Windgeschwindigkeit Rotorhöhe'!$B$1="Windmessung",H28,R28)</f>
        <v>301.65017734357798</v>
      </c>
      <c r="H76" s="77">
        <f>IF('4_Windgeschwindigkeit Rotorhöhe'!$B$1="Windmessung",I28,S28)</f>
        <v>501.19459758276281</v>
      </c>
      <c r="I76" s="77">
        <f>IF('4_Windgeschwindigkeit Rotorhöhe'!$B$1="Windmessung",J28,T28)</f>
        <v>301.65017734357798</v>
      </c>
      <c r="W76" s="235"/>
    </row>
    <row r="77" spans="1:23" x14ac:dyDescent="0.3">
      <c r="A77" s="19" t="s">
        <v>78</v>
      </c>
      <c r="B77" s="29">
        <v>5.75</v>
      </c>
      <c r="C77" s="74">
        <f>IF('4_Windgeschwindigkeit Rotorhöhe'!$B$1="Windmessung",D29,N29)</f>
        <v>5.9085938687119234E-2</v>
      </c>
      <c r="D77" s="75">
        <f>IF('4_Windgeschwindigkeit Rotorhöhe'!$B$1="Windmessung",E29,O29)</f>
        <v>1463.2532289024405</v>
      </c>
      <c r="E77" s="76">
        <f>IF('4_Windgeschwindigkeit Rotorhöhe'!$B$1="Windmessung",F29,P29)</f>
        <v>757.36936936393147</v>
      </c>
      <c r="F77" s="77">
        <f>IF('4_Windgeschwindigkeit Rotorhöhe'!$B$1="Windmessung",G29,Q29)</f>
        <v>658.46395300609822</v>
      </c>
      <c r="G77" s="77">
        <f>IF('4_Windgeschwindigkeit Rotorhöhe'!$B$1="Windmessung",H29,R29)</f>
        <v>340.81621621376917</v>
      </c>
      <c r="H77" s="77">
        <f>IF('4_Windgeschwindigkeit Rotorhöhe'!$B$1="Windmessung",I29,S29)</f>
        <v>658.46395300609822</v>
      </c>
      <c r="I77" s="77">
        <f>IF('4_Windgeschwindigkeit Rotorhöhe'!$B$1="Windmessung",J29,T29)</f>
        <v>340.81621621376917</v>
      </c>
      <c r="W77" s="235"/>
    </row>
    <row r="78" spans="1:23" x14ac:dyDescent="0.3">
      <c r="A78" s="19" t="s">
        <v>79</v>
      </c>
      <c r="B78" s="29">
        <v>6.25</v>
      </c>
      <c r="C78" s="74">
        <f>IF('4_Windgeschwindigkeit Rotorhöhe'!$B$1="Windmessung",D30,N30)</f>
        <v>4.9332345808484265E-2</v>
      </c>
      <c r="D78" s="75">
        <f>IF('4_Windgeschwindigkeit Rotorhöhe'!$B$1="Windmessung",E30,O30)</f>
        <v>1879.1264651599106</v>
      </c>
      <c r="E78" s="76">
        <f>IF('4_Windgeschwindigkeit Rotorhöhe'!$B$1="Windmessung",F30,P30)</f>
        <v>812.067037390976</v>
      </c>
      <c r="F78" s="77">
        <f>IF('4_Windgeschwindigkeit Rotorhöhe'!$B$1="Windmessung",G30,Q30)</f>
        <v>845.60690932195973</v>
      </c>
      <c r="G78" s="77">
        <f>IF('4_Windgeschwindigkeit Rotorhöhe'!$B$1="Windmessung",H30,R30)</f>
        <v>365.43016682593912</v>
      </c>
      <c r="H78" s="77">
        <f>IF('4_Windgeschwindigkeit Rotorhöhe'!$B$1="Windmessung",I30,S30)</f>
        <v>845.60690932195973</v>
      </c>
      <c r="I78" s="77">
        <f>IF('4_Windgeschwindigkeit Rotorhöhe'!$B$1="Windmessung",J30,T30)</f>
        <v>365.43016682593912</v>
      </c>
      <c r="W78" s="235"/>
    </row>
    <row r="79" spans="1:23" ht="14.4" customHeight="1" x14ac:dyDescent="0.3">
      <c r="A79" s="19" t="s">
        <v>80</v>
      </c>
      <c r="B79" s="29">
        <v>6.75</v>
      </c>
      <c r="C79" s="74">
        <f>IF('4_Windgeschwindigkeit Rotorhöhe'!$B$1="Windmessung",D31,N31)</f>
        <v>4.003537789972441E-2</v>
      </c>
      <c r="D79" s="75">
        <f>IF('4_Windgeschwindigkeit Rotorhöhe'!$B$1="Windmessung",E31,O31)</f>
        <v>2367.1581576795215</v>
      </c>
      <c r="E79" s="76">
        <f>IF('4_Windgeschwindigkeit Rotorhöhe'!$B$1="Windmessung",F31,P31)</f>
        <v>830.18582538616795</v>
      </c>
      <c r="F79" s="77">
        <f>IF('4_Windgeschwindigkeit Rotorhöhe'!$B$1="Windmessung",G31,Q31)</f>
        <v>1065.2211709557848</v>
      </c>
      <c r="G79" s="77">
        <f>IF('4_Windgeschwindigkeit Rotorhöhe'!$B$1="Windmessung",H31,R31)</f>
        <v>373.5836214237757</v>
      </c>
      <c r="H79" s="77">
        <f>IF('4_Windgeschwindigkeit Rotorhöhe'!$B$1="Windmessung",I31,S31)</f>
        <v>1065.2211709557848</v>
      </c>
      <c r="I79" s="77">
        <f>IF('4_Windgeschwindigkeit Rotorhöhe'!$B$1="Windmessung",J31,T31)</f>
        <v>373.5836214237757</v>
      </c>
      <c r="W79" s="235"/>
    </row>
    <row r="80" spans="1:23" x14ac:dyDescent="0.3">
      <c r="A80" s="19" t="s">
        <v>81</v>
      </c>
      <c r="B80" s="29">
        <v>7.25</v>
      </c>
      <c r="C80" s="74">
        <f>IF('4_Windgeschwindigkeit Rotorhöhe'!$B$1="Windmessung",D32,N32)</f>
        <v>3.1609638576187413E-2</v>
      </c>
      <c r="D80" s="75">
        <f>IF('4_Windgeschwindigkeit Rotorhöhe'!$B$1="Windmessung",E32,O32)</f>
        <v>2933.1209829622439</v>
      </c>
      <c r="E80" s="76">
        <f>IF('4_Windgeschwindigkeit Rotorhöhe'!$B$1="Windmessung",F32,P32)</f>
        <v>812.18247294381251</v>
      </c>
      <c r="F80" s="77">
        <f>IF('4_Windgeschwindigkeit Rotorhöhe'!$B$1="Windmessung",G32,Q32)</f>
        <v>1319.9044423330099</v>
      </c>
      <c r="G80" s="77">
        <f>IF('4_Windgeschwindigkeit Rotorhöhe'!$B$1="Windmessung",H32,R32)</f>
        <v>365.48211282471561</v>
      </c>
      <c r="H80" s="77">
        <f>IF('4_Windgeschwindigkeit Rotorhöhe'!$B$1="Windmessung",I32,S32)</f>
        <v>1319.9044423330099</v>
      </c>
      <c r="I80" s="77">
        <f>IF('4_Windgeschwindigkeit Rotorhöhe'!$B$1="Windmessung",J32,T32)</f>
        <v>365.48211282471561</v>
      </c>
      <c r="W80" s="235"/>
    </row>
    <row r="81" spans="1:23" ht="14.4" customHeight="1" x14ac:dyDescent="0.3">
      <c r="A81" s="19" t="s">
        <v>82</v>
      </c>
      <c r="B81" s="29">
        <v>7.75</v>
      </c>
      <c r="C81" s="74">
        <f>IF('4_Windgeschwindigkeit Rotorhöhe'!$B$1="Windmessung",D33,N33)</f>
        <v>2.4298392599337762E-2</v>
      </c>
      <c r="D81" s="75">
        <f>IF('4_Windgeschwindigkeit Rotorhöhe'!$B$1="Windmessung",E33,O33)</f>
        <v>3582.7876175090496</v>
      </c>
      <c r="E81" s="76">
        <f>IF('4_Windgeschwindigkeit Rotorhöhe'!$B$1="Windmessung",F33,P33)</f>
        <v>762.61038594126023</v>
      </c>
      <c r="F81" s="77">
        <f>IF('4_Windgeschwindigkeit Rotorhöhe'!$B$1="Windmessung",G33,Q33)</f>
        <v>1612.2544278790724</v>
      </c>
      <c r="G81" s="77">
        <f>IF('4_Windgeschwindigkeit Rotorhöhe'!$B$1="Windmessung",H33,R33)</f>
        <v>343.17467367356721</v>
      </c>
      <c r="H81" s="77">
        <f>IF('4_Windgeschwindigkeit Rotorhöhe'!$B$1="Windmessung",I33,S33)</f>
        <v>1612.2544278790724</v>
      </c>
      <c r="I81" s="77">
        <f>IF('4_Windgeschwindigkeit Rotorhöhe'!$B$1="Windmessung",J33,T33)</f>
        <v>343.17467367356721</v>
      </c>
      <c r="W81" s="235"/>
    </row>
    <row r="82" spans="1:23" x14ac:dyDescent="0.3">
      <c r="A82" s="19" t="s">
        <v>83</v>
      </c>
      <c r="B82" s="29">
        <v>8.25</v>
      </c>
      <c r="C82" s="74">
        <f>IF('4_Windgeschwindigkeit Rotorhöhe'!$B$1="Windmessung",D34,N34)</f>
        <v>1.8196047600211006E-2</v>
      </c>
      <c r="D82" s="75">
        <f>IF('4_Windgeschwindigkeit Rotorhöhe'!$B$1="Windmessung",E34,O34)</f>
        <v>4321.9307378209096</v>
      </c>
      <c r="E82" s="76">
        <f>IF('4_Windgeschwindigkeit Rotorhöhe'!$B$1="Windmessung",F34,P34)</f>
        <v>688.90442308859008</v>
      </c>
      <c r="F82" s="77">
        <f>IF('4_Windgeschwindigkeit Rotorhöhe'!$B$1="Windmessung",G34,Q34)</f>
        <v>1944.8688320194094</v>
      </c>
      <c r="G82" s="77">
        <f>IF('4_Windgeschwindigkeit Rotorhöhe'!$B$1="Windmessung",H34,R34)</f>
        <v>310.00699038986551</v>
      </c>
      <c r="H82" s="77">
        <f>IF('4_Windgeschwindigkeit Rotorhöhe'!$B$1="Windmessung",I34,S34)</f>
        <v>1944.8688320194094</v>
      </c>
      <c r="I82" s="77">
        <f>IF('4_Windgeschwindigkeit Rotorhöhe'!$B$1="Windmessung",J34,T34)</f>
        <v>310.00699038986551</v>
      </c>
      <c r="W82" s="235"/>
    </row>
    <row r="83" spans="1:23" x14ac:dyDescent="0.3">
      <c r="A83" s="19" t="s">
        <v>84</v>
      </c>
      <c r="B83" s="29">
        <v>8.75</v>
      </c>
      <c r="C83" s="74">
        <f>IF('4_Windgeschwindigkeit Rotorhöhe'!$B$1="Windmessung",D35,N35)</f>
        <v>1.3281018959114793E-2</v>
      </c>
      <c r="D83" s="75">
        <f>IF('4_Windgeschwindigkeit Rotorhöhe'!$B$1="Windmessung",E35,O35)</f>
        <v>5156.3230203987951</v>
      </c>
      <c r="E83" s="76">
        <f>IF('4_Windgeschwindigkeit Rotorhöhe'!$B$1="Windmessung",F35,P35)</f>
        <v>599.89552042875141</v>
      </c>
      <c r="F83" s="77">
        <f>IF('4_Windgeschwindigkeit Rotorhöhe'!$B$1="Windmessung",G35,Q35)</f>
        <v>2320.3453591794578</v>
      </c>
      <c r="G83" s="77">
        <f>IF('4_Windgeschwindigkeit Rotorhöhe'!$B$1="Windmessung",H35,R35)</f>
        <v>269.95298419293806</v>
      </c>
      <c r="H83" s="77">
        <f>IF('4_Windgeschwindigkeit Rotorhöhe'!$B$1="Windmessung",I35,S35)</f>
        <v>2320.3453591794578</v>
      </c>
      <c r="I83" s="77">
        <f>IF('4_Windgeschwindigkeit Rotorhöhe'!$B$1="Windmessung",J35,T35)</f>
        <v>269.95298419293806</v>
      </c>
      <c r="W83" s="235"/>
    </row>
    <row r="84" spans="1:23" x14ac:dyDescent="0.3">
      <c r="A84" s="19" t="s">
        <v>85</v>
      </c>
      <c r="B84" s="29">
        <v>9.25</v>
      </c>
      <c r="C84" s="74">
        <f>IF('4_Windgeschwindigkeit Rotorhöhe'!$B$1="Windmessung",D36,N36)</f>
        <v>9.4518812985948351E-3</v>
      </c>
      <c r="D84" s="75">
        <f>IF('4_Windgeschwindigkeit Rotorhöhe'!$B$1="Windmessung",E36,O36)</f>
        <v>6091.7371417436771</v>
      </c>
      <c r="E84" s="76">
        <f>IF('4_Windgeschwindigkeit Rotorhöhe'!$B$1="Windmessung",F36,P36)</f>
        <v>504.38657696618293</v>
      </c>
      <c r="F84" s="77">
        <f>IF('4_Windgeschwindigkeit Rotorhöhe'!$B$1="Windmessung",G36,Q36)</f>
        <v>2741.2817137846546</v>
      </c>
      <c r="G84" s="77">
        <f>IF('4_Windgeschwindigkeit Rotorhöhe'!$B$1="Windmessung",H36,R36)</f>
        <v>226.97395963478232</v>
      </c>
      <c r="H84" s="77">
        <f>IF('4_Windgeschwindigkeit Rotorhöhe'!$B$1="Windmessung",I36,S36)</f>
        <v>2741.2817137846546</v>
      </c>
      <c r="I84" s="77">
        <f>IF('4_Windgeschwindigkeit Rotorhöhe'!$B$1="Windmessung",J36,T36)</f>
        <v>226.97395963478232</v>
      </c>
      <c r="W84" s="235"/>
    </row>
    <row r="85" spans="1:23" ht="14.4" customHeight="1" x14ac:dyDescent="0.3">
      <c r="A85" s="19" t="s">
        <v>86</v>
      </c>
      <c r="B85" s="29">
        <v>9.75</v>
      </c>
      <c r="C85" s="74">
        <f>IF('4_Windgeschwindigkeit Rotorhöhe'!$B$1="Windmessung",D37,N37)</f>
        <v>6.5612604727717074E-3</v>
      </c>
      <c r="D85" s="75">
        <f>IF('4_Windgeschwindigkeit Rotorhöhe'!$B$1="Windmessung",E37,O37)</f>
        <v>7133.9457783565276</v>
      </c>
      <c r="E85" s="76">
        <f>IF('4_Windgeschwindigkeit Rotorhöhe'!$B$1="Windmessung",F37,P37)</f>
        <v>410.03524570574291</v>
      </c>
      <c r="F85" s="77">
        <f>IF('4_Windgeschwindigkeit Rotorhöhe'!$B$1="Windmessung",G37,Q37)</f>
        <v>3210.2756002604374</v>
      </c>
      <c r="G85" s="77">
        <f>IF('4_Windgeschwindigkeit Rotorhöhe'!$B$1="Windmessung",H37,R37)</f>
        <v>184.51586056758433</v>
      </c>
      <c r="H85" s="77">
        <f>IF('4_Windgeschwindigkeit Rotorhöhe'!$B$1="Windmessung",I37,S37)</f>
        <v>3210.2756002604374</v>
      </c>
      <c r="I85" s="77">
        <f>IF('4_Windgeschwindigkeit Rotorhöhe'!$B$1="Windmessung",J37,T37)</f>
        <v>184.51586056758433</v>
      </c>
      <c r="W85" s="235"/>
    </row>
    <row r="86" spans="1:23" x14ac:dyDescent="0.3">
      <c r="A86" s="19" t="s">
        <v>87</v>
      </c>
      <c r="B86" s="29">
        <v>10.25</v>
      </c>
      <c r="C86" s="74">
        <f>IF('4_Windgeschwindigkeit Rotorhöhe'!$B$1="Windmessung",D38,N38)</f>
        <v>4.4439137402374458E-3</v>
      </c>
      <c r="D86" s="75">
        <f>IF('4_Windgeschwindigkeit Rotorhöhe'!$B$1="Windmessung",E38,O38)</f>
        <v>8288.721606738316</v>
      </c>
      <c r="E86" s="76">
        <f>IF('4_Windgeschwindigkeit Rotorhöhe'!$B$1="Windmessung",F38,P38)</f>
        <v>322.66902721376164</v>
      </c>
      <c r="F86" s="77">
        <f>IF('4_Windgeschwindigkeit Rotorhöhe'!$B$1="Windmessung",G38,Q38)</f>
        <v>3729.9247230322421</v>
      </c>
      <c r="G86" s="77">
        <f>IF('4_Windgeschwindigkeit Rotorhöhe'!$B$1="Windmessung",H38,R38)</f>
        <v>145.20106224619275</v>
      </c>
      <c r="H86" s="77">
        <f>IF('4_Windgeschwindigkeit Rotorhöhe'!$B$1="Windmessung",I38,S38)</f>
        <v>3500</v>
      </c>
      <c r="I86" s="77">
        <f>IF('4_Windgeschwindigkeit Rotorhöhe'!$B$1="Windmessung",J38,T38)</f>
        <v>136.25039527568009</v>
      </c>
      <c r="W86" s="235"/>
    </row>
    <row r="87" spans="1:23" x14ac:dyDescent="0.3">
      <c r="A87" s="19" t="s">
        <v>88</v>
      </c>
      <c r="B87" s="29">
        <v>10.75</v>
      </c>
      <c r="C87" s="74">
        <f>IF('4_Windgeschwindigkeit Rotorhöhe'!$B$1="Windmessung",D39,N39)</f>
        <v>2.937394419785739E-3</v>
      </c>
      <c r="D87" s="75">
        <f>IF('4_Windgeschwindigkeit Rotorhöhe'!$B$1="Windmessung",E39,O39)</f>
        <v>9561.837303390017</v>
      </c>
      <c r="E87" s="76">
        <f>IF('4_Windgeschwindigkeit Rotorhöhe'!$B$1="Windmessung",F39,P39)</f>
        <v>246.04113483180214</v>
      </c>
      <c r="F87" s="77">
        <f>IF('4_Windgeschwindigkeit Rotorhöhe'!$B$1="Windmessung",G39,Q39)</f>
        <v>4302.8267865255075</v>
      </c>
      <c r="G87" s="77">
        <f>IF('4_Windgeschwindigkeit Rotorhöhe'!$B$1="Windmessung",H39,R39)</f>
        <v>110.71851067431095</v>
      </c>
      <c r="H87" s="77">
        <f>IF('4_Windgeschwindigkeit Rotorhöhe'!$B$1="Windmessung",I39,S39)</f>
        <v>3500</v>
      </c>
      <c r="I87" s="77">
        <f>IF('4_Windgeschwindigkeit Rotorhöhe'!$B$1="Windmessung",J39,T39)</f>
        <v>90.060512910630763</v>
      </c>
      <c r="W87" s="235"/>
    </row>
    <row r="88" spans="1:23" x14ac:dyDescent="0.3">
      <c r="A88" s="19" t="s">
        <v>89</v>
      </c>
      <c r="B88" s="29">
        <v>11.25</v>
      </c>
      <c r="C88" s="74">
        <f>IF('4_Windgeschwindigkeit Rotorhöhe'!$B$1="Windmessung",D40,N40)</f>
        <v>1.8952710311823905E-3</v>
      </c>
      <c r="D88" s="75">
        <f>IF('4_Windgeschwindigkeit Rotorhöhe'!$B$1="Windmessung",E40,O40)</f>
        <v>10959.065544812598</v>
      </c>
      <c r="E88" s="76">
        <f>IF('4_Windgeschwindigkeit Rotorhöhe'!$B$1="Windmessung",F40,P40)</f>
        <v>181.94869923379244</v>
      </c>
      <c r="F88" s="77">
        <f>IF('4_Windgeschwindigkeit Rotorhöhe'!$B$1="Windmessung",G40,Q40)</f>
        <v>4931.579495165669</v>
      </c>
      <c r="G88" s="77">
        <f>IF('4_Windgeschwindigkeit Rotorhöhe'!$B$1="Windmessung",H40,R40)</f>
        <v>81.876914655206591</v>
      </c>
      <c r="H88" s="77">
        <f>IF('4_Windgeschwindigkeit Rotorhöhe'!$B$1="Windmessung",I40,S40)</f>
        <v>3500</v>
      </c>
      <c r="I88" s="77">
        <f>IF('4_Windgeschwindigkeit Rotorhöhe'!$B$1="Windmessung",J40,T40)</f>
        <v>58.109009816052094</v>
      </c>
      <c r="W88" s="235"/>
    </row>
    <row r="89" spans="1:23" x14ac:dyDescent="0.3">
      <c r="A89" s="19" t="s">
        <v>90</v>
      </c>
      <c r="B89" s="29">
        <v>11.75</v>
      </c>
      <c r="C89" s="74">
        <f>IF('4_Windgeschwindigkeit Rotorhöhe'!$B$1="Windmessung",D41,N41)</f>
        <v>1.1939183417526353E-3</v>
      </c>
      <c r="D89" s="75">
        <f>IF('4_Windgeschwindigkeit Rotorhöhe'!$B$1="Windmessung",E41,O41)</f>
        <v>12486.179007507033</v>
      </c>
      <c r="E89" s="76">
        <f>IF('4_Windgeschwindigkeit Rotorhöhe'!$B$1="Windmessung",F41,P41)</f>
        <v>130.58950846671161</v>
      </c>
      <c r="F89" s="77">
        <f>IF('4_Windgeschwindigkeit Rotorhöhe'!$B$1="Windmessung",G41,Q41)</f>
        <v>5618.7805533781648</v>
      </c>
      <c r="G89" s="77">
        <f>IF('4_Windgeschwindigkeit Rotorhöhe'!$B$1="Windmessung",H41,R41)</f>
        <v>58.76527881002022</v>
      </c>
      <c r="H89" s="77">
        <f>IF('4_Windgeschwindigkeit Rotorhöhe'!$B$1="Windmessung",I41,S41)</f>
        <v>3500</v>
      </c>
      <c r="I89" s="77">
        <f>IF('4_Windgeschwindigkeit Rotorhöhe'!$B$1="Windmessung",J41,T41)</f>
        <v>36.605536358135801</v>
      </c>
      <c r="W89" s="235"/>
    </row>
    <row r="90" spans="1:23" x14ac:dyDescent="0.3">
      <c r="A90" s="19" t="s">
        <v>91</v>
      </c>
      <c r="B90" s="29">
        <v>12.25</v>
      </c>
      <c r="C90" s="74">
        <f>IF('4_Windgeschwindigkeit Rotorhöhe'!$B$1="Windmessung",D42,N42)</f>
        <v>7.3441875041327961E-4</v>
      </c>
      <c r="D90" s="75">
        <f>IF('4_Windgeschwindigkeit Rotorhöhe'!$B$1="Windmessung",E42,O42)</f>
        <v>14148.950367974294</v>
      </c>
      <c r="E90" s="76">
        <f>IF('4_Windgeschwindigkeit Rotorhöhe'!$B$1="Windmessung",F42,P42)</f>
        <v>91.027388972427033</v>
      </c>
      <c r="F90" s="77">
        <f>IF('4_Windgeschwindigkeit Rotorhöhe'!$B$1="Windmessung",G42,Q42)</f>
        <v>6367.0276655884327</v>
      </c>
      <c r="G90" s="77">
        <f>IF('4_Windgeschwindigkeit Rotorhöhe'!$B$1="Windmessung",H42,R42)</f>
        <v>40.962325037592166</v>
      </c>
      <c r="H90" s="77">
        <f>IF('4_Windgeschwindigkeit Rotorhöhe'!$B$1="Windmessung",I42,S42)</f>
        <v>3500</v>
      </c>
      <c r="I90" s="77">
        <f>IF('4_Windgeschwindigkeit Rotorhöhe'!$B$1="Windmessung",J42,T42)</f>
        <v>22.517278887671154</v>
      </c>
      <c r="W90" s="235"/>
    </row>
    <row r="91" spans="1:23" x14ac:dyDescent="0.3">
      <c r="A91" s="19" t="s">
        <v>92</v>
      </c>
      <c r="B91" s="29">
        <v>12.75</v>
      </c>
      <c r="C91" s="74">
        <f>IF('4_Windgeschwindigkeit Rotorhöhe'!$B$1="Windmessung",D43,N43)</f>
        <v>4.412063120438488E-4</v>
      </c>
      <c r="D91" s="75">
        <f>IF('4_Windgeschwindigkeit Rotorhöhe'!$B$1="Windmessung",E43,O43)</f>
        <v>15953.152302715347</v>
      </c>
      <c r="E91" s="76">
        <f>IF('4_Windgeschwindigkeit Rotorhöhe'!$B$1="Windmessung",F43,P43)</f>
        <v>61.658411878284682</v>
      </c>
      <c r="F91" s="77">
        <f>IF('4_Windgeschwindigkeit Rotorhöhe'!$B$1="Windmessung",G43,Q43)</f>
        <v>7178.9185362219059</v>
      </c>
      <c r="G91" s="77">
        <f>IF('4_Windgeschwindigkeit Rotorhöhe'!$B$1="Windmessung",H43,R43)</f>
        <v>27.746285345228106</v>
      </c>
      <c r="H91" s="77">
        <f>IF('4_Windgeschwindigkeit Rotorhöhe'!$B$1="Windmessung",I43,S43)</f>
        <v>3500</v>
      </c>
      <c r="I91" s="77">
        <f>IF('4_Windgeschwindigkeit Rotorhöhe'!$B$1="Windmessung",J43,T43)</f>
        <v>13.527385527264405</v>
      </c>
      <c r="W91" s="235"/>
    </row>
    <row r="92" spans="1:23" x14ac:dyDescent="0.3">
      <c r="A92" s="19" t="s">
        <v>93</v>
      </c>
      <c r="B92" s="29">
        <v>13.25</v>
      </c>
      <c r="C92" s="74">
        <f>IF('4_Windgeschwindigkeit Rotorhöhe'!$B$1="Windmessung",D44,N44)</f>
        <v>2.5889533778086511E-4</v>
      </c>
      <c r="D92" s="75">
        <f>IF('4_Windgeschwindigkeit Rotorhöhe'!$B$1="Windmessung",E44,O44)</f>
        <v>17904.55748823117</v>
      </c>
      <c r="E92" s="76">
        <f>IF('4_Windgeschwindigkeit Rotorhöhe'!$B$1="Windmessung",F44,P44)</f>
        <v>40.606160578496926</v>
      </c>
      <c r="F92" s="77">
        <f>IF('4_Windgeschwindigkeit Rotorhöhe'!$B$1="Windmessung",G44,Q44)</f>
        <v>8057.0508697040268</v>
      </c>
      <c r="G92" s="77">
        <f>IF('4_Windgeschwindigkeit Rotorhöhe'!$B$1="Windmessung",H44,R44)</f>
        <v>18.272772260323617</v>
      </c>
      <c r="H92" s="77">
        <f>IF('4_Windgeschwindigkeit Rotorhöhe'!$B$1="Windmessung",I44,S44)</f>
        <v>3500</v>
      </c>
      <c r="I92" s="77">
        <f>IF('4_Windgeschwindigkeit Rotorhöhe'!$B$1="Windmessung",J44,T44)</f>
        <v>7.9377310563613248</v>
      </c>
      <c r="W92" s="235"/>
    </row>
    <row r="93" spans="1:23" x14ac:dyDescent="0.3">
      <c r="A93" s="19" t="s">
        <v>94</v>
      </c>
      <c r="B93" s="29">
        <v>13.75</v>
      </c>
      <c r="C93" s="74">
        <f>IF('4_Windgeschwindigkeit Rotorhöhe'!$B$1="Windmessung",D45,N45)</f>
        <v>1.4840236543222618E-4</v>
      </c>
      <c r="D93" s="75">
        <f>IF('4_Windgeschwindigkeit Rotorhöhe'!$B$1="Windmessung",E45,O45)</f>
        <v>20008.938601022728</v>
      </c>
      <c r="E93" s="76">
        <f>IF('4_Windgeschwindigkeit Rotorhöhe'!$B$1="Windmessung",F45,P45)</f>
        <v>26.011714647256373</v>
      </c>
      <c r="F93" s="77">
        <f>IF('4_Windgeschwindigkeit Rotorhöhe'!$B$1="Windmessung",G45,Q45)</f>
        <v>9004.0223704602286</v>
      </c>
      <c r="G93" s="77">
        <f>IF('4_Windgeschwindigkeit Rotorhöhe'!$B$1="Windmessung",H45,R45)</f>
        <v>11.705271591265369</v>
      </c>
      <c r="H93" s="77">
        <f>IF('4_Windgeschwindigkeit Rotorhöhe'!$B$1="Windmessung",I45,S45)</f>
        <v>3500</v>
      </c>
      <c r="I93" s="77">
        <f>IF('4_Windgeschwindigkeit Rotorhöhe'!$B$1="Windmessung",J45,T45)</f>
        <v>4.5500165241520545</v>
      </c>
      <c r="W93" s="235"/>
    </row>
    <row r="94" spans="1:23" x14ac:dyDescent="0.3">
      <c r="A94" s="19" t="s">
        <v>95</v>
      </c>
      <c r="B94" s="29">
        <v>14.25</v>
      </c>
      <c r="C94" s="74">
        <f>IF('4_Windgeschwindigkeit Rotorhöhe'!$B$1="Windmessung",D46,N46)</f>
        <v>8.3106638805176047E-5</v>
      </c>
      <c r="D94" s="75">
        <f>IF('4_Windgeschwindigkeit Rotorhöhe'!$B$1="Windmessung",E46,O46)</f>
        <v>22272.068317590998</v>
      </c>
      <c r="E94" s="76">
        <f>IF('4_Windgeschwindigkeit Rotorhöhe'!$B$1="Windmessung",F46,P46)</f>
        <v>16.214381017120743</v>
      </c>
      <c r="F94" s="77">
        <f>IF('4_Windgeschwindigkeit Rotorhöhe'!$B$1="Windmessung",G46,Q46)</f>
        <v>10022.430742915949</v>
      </c>
      <c r="G94" s="77">
        <f>IF('4_Windgeschwindigkeit Rotorhöhe'!$B$1="Windmessung",H46,R46)</f>
        <v>7.2964714577043344</v>
      </c>
      <c r="H94" s="77">
        <f>IF('4_Windgeschwindigkeit Rotorhöhe'!$B$1="Windmessung",I46,S46)</f>
        <v>3500</v>
      </c>
      <c r="I94" s="77">
        <f>IF('4_Windgeschwindigkeit Rotorhöhe'!$B$1="Windmessung",J46,T46)</f>
        <v>2.5480495457666974</v>
      </c>
      <c r="W94" s="235"/>
    </row>
    <row r="95" spans="1:23" x14ac:dyDescent="0.3">
      <c r="A95" s="19" t="s">
        <v>96</v>
      </c>
      <c r="B95" s="29">
        <v>14.75</v>
      </c>
      <c r="C95" s="74">
        <f>IF('4_Windgeschwindigkeit Rotorhöhe'!$B$1="Windmessung",D47,N47)</f>
        <v>4.5472471227311838E-5</v>
      </c>
      <c r="D95" s="75">
        <f>IF('4_Windgeschwindigkeit Rotorhöhe'!$B$1="Windmessung",E47,O47)</f>
        <v>24699.719314436945</v>
      </c>
      <c r="E95" s="76">
        <f>IF('4_Windgeschwindigkeit Rotorhöhe'!$B$1="Windmessung",F47,P47)</f>
        <v>9.838857736432093</v>
      </c>
      <c r="F95" s="77">
        <f>IF('4_Windgeschwindigkeit Rotorhöhe'!$B$1="Windmessung",G47,Q47)</f>
        <v>11114.873691496625</v>
      </c>
      <c r="G95" s="77">
        <f>IF('4_Windgeschwindigkeit Rotorhöhe'!$B$1="Windmessung",H47,R47)</f>
        <v>4.4274859813944412</v>
      </c>
      <c r="H95" s="77">
        <f>IF('4_Windgeschwindigkeit Rotorhöhe'!$B$1="Windmessung",I47,S47)</f>
        <v>3500</v>
      </c>
      <c r="I95" s="77">
        <f>IF('4_Windgeschwindigkeit Rotorhöhe'!$B$1="Windmessung",J47,T47)</f>
        <v>1.3941859678293809</v>
      </c>
      <c r="W95" s="235"/>
    </row>
    <row r="96" spans="1:23" x14ac:dyDescent="0.3">
      <c r="A96" s="19" t="s">
        <v>162</v>
      </c>
      <c r="B96" s="29">
        <v>15.25</v>
      </c>
      <c r="C96" s="74">
        <f>IF('4_Windgeschwindigkeit Rotorhöhe'!$B$1="Windmessung",D48,N48)</f>
        <v>2.4311682630027925E-5</v>
      </c>
      <c r="D96" s="75">
        <f>IF('4_Windgeschwindigkeit Rotorhöhe'!$B$1="Windmessung",E48,O48)</f>
        <v>27297.664268061548</v>
      </c>
      <c r="E96" s="76">
        <f>IF('4_Windgeschwindigkeit Rotorhöhe'!$B$1="Windmessung",F48,P48)</f>
        <v>5.813592835981213</v>
      </c>
      <c r="F96" s="77">
        <f>IF('4_Windgeschwindigkeit Rotorhöhe'!$B$1="Windmessung",G48,Q48)</f>
        <v>12283.948920627698</v>
      </c>
      <c r="G96" s="77">
        <f>IF('4_Windgeschwindigkeit Rotorhöhe'!$B$1="Windmessung",H48,R48)</f>
        <v>2.616116776191546</v>
      </c>
      <c r="H96" s="77">
        <f>IF('4_Windgeschwindigkeit Rotorhöhe'!$B$1="Windmessung",I48,S48)</f>
        <v>3500</v>
      </c>
      <c r="I96" s="77">
        <f>IF('4_Windgeschwindigkeit Rotorhöhe'!$B$1="Windmessung",J48,T48)</f>
        <v>0.7453961894366562</v>
      </c>
      <c r="W96" s="235"/>
    </row>
    <row r="97" spans="1:23" x14ac:dyDescent="0.3">
      <c r="A97" s="19" t="s">
        <v>163</v>
      </c>
      <c r="B97" s="29">
        <v>15.75</v>
      </c>
      <c r="C97" s="74">
        <f>IF('4_Windgeschwindigkeit Rotorhöhe'!$B$1="Windmessung",D49,N49)</f>
        <v>1.2701860078052738E-5</v>
      </c>
      <c r="D97" s="75">
        <f>IF('4_Windgeschwindigkeit Rotorhöhe'!$B$1="Windmessung",E49,O49)</f>
        <v>30071.675854965772</v>
      </c>
      <c r="E97" s="76">
        <f>IF('4_Windgeschwindigkeit Rotorhöhe'!$B$1="Windmessung",F49,P49)</f>
        <v>3.3460240786356299</v>
      </c>
      <c r="F97" s="77">
        <f>IF('4_Windgeschwindigkeit Rotorhöhe'!$B$1="Windmessung",G49,Q49)</f>
        <v>13532.254134734598</v>
      </c>
      <c r="G97" s="77">
        <f>IF('4_Windgeschwindigkeit Rotorhöhe'!$B$1="Windmessung",H49,R49)</f>
        <v>1.5057108353860336</v>
      </c>
      <c r="H97" s="77">
        <f>IF('4_Windgeschwindigkeit Rotorhöhe'!$B$1="Windmessung",I49,S49)</f>
        <v>3500</v>
      </c>
      <c r="I97" s="77">
        <f>IF('4_Windgeschwindigkeit Rotorhöhe'!$B$1="Windmessung",J49,T49)</f>
        <v>0.38943902999309693</v>
      </c>
      <c r="W97" s="235"/>
    </row>
    <row r="98" spans="1:23" x14ac:dyDescent="0.3">
      <c r="A98" s="19" t="s">
        <v>164</v>
      </c>
      <c r="B98" s="29">
        <v>16.25</v>
      </c>
      <c r="C98" s="74">
        <f>IF('4_Windgeschwindigkeit Rotorhöhe'!$B$1="Windmessung",D50,N50)</f>
        <v>6.4853688042413694E-6</v>
      </c>
      <c r="D98" s="75">
        <f>IF('4_Windgeschwindigkeit Rotorhöhe'!$B$1="Windmessung",E50,O50)</f>
        <v>33027.526751650592</v>
      </c>
      <c r="E98" s="76">
        <f>IF('4_Windgeschwindigkeit Rotorhöhe'!$B$1="Windmessung",F50,P50)</f>
        <v>1.876354259085282</v>
      </c>
      <c r="F98" s="77">
        <f>IF('4_Windgeschwindigkeit Rotorhöhe'!$B$1="Windmessung",G50,Q50)</f>
        <v>14862.387038242767</v>
      </c>
      <c r="G98" s="77">
        <f>IF('4_Windgeschwindigkeit Rotorhöhe'!$B$1="Windmessung",H50,R50)</f>
        <v>0.84435941658837677</v>
      </c>
      <c r="H98" s="77">
        <f>IF('4_Windgeschwindigkeit Rotorhöhe'!$B$1="Windmessung",I50,S50)</f>
        <v>3500</v>
      </c>
      <c r="I98" s="77">
        <f>IF('4_Windgeschwindigkeit Rotorhöhe'!$B$1="Windmessung",J50,T50)</f>
        <v>0.19884140753804039</v>
      </c>
      <c r="W98" s="235"/>
    </row>
    <row r="99" spans="1:23" x14ac:dyDescent="0.3">
      <c r="A99" s="19" t="s">
        <v>165</v>
      </c>
      <c r="B99" s="29">
        <v>16.75</v>
      </c>
      <c r="C99" s="74">
        <f>IF('4_Windgeschwindigkeit Rotorhöhe'!$B$1="Windmessung",D51,N51)</f>
        <v>3.2362616404325924E-6</v>
      </c>
      <c r="D99" s="75">
        <f>IF('4_Windgeschwindigkeit Rotorhöhe'!$B$1="Windmessung",E51,O51)</f>
        <v>36170.98963461697</v>
      </c>
      <c r="E99" s="76">
        <f>IF('4_Windgeschwindigkeit Rotorhöhe'!$B$1="Windmessung",F51,P51)</f>
        <v>1.0254349675587233</v>
      </c>
      <c r="F99" s="77">
        <f>IF('4_Windgeschwindigkeit Rotorhöhe'!$B$1="Windmessung",G51,Q51)</f>
        <v>16276.945335577637</v>
      </c>
      <c r="G99" s="77">
        <f>IF('4_Windgeschwindigkeit Rotorhöhe'!$B$1="Windmessung",H51,R51)</f>
        <v>0.46144573540142553</v>
      </c>
      <c r="H99" s="77">
        <f>IF('4_Windgeschwindigkeit Rotorhöhe'!$B$1="Windmessung",I51,S51)</f>
        <v>3500</v>
      </c>
      <c r="I99" s="77">
        <f>IF('4_Windgeschwindigkeit Rotorhöhe'!$B$1="Windmessung",J51,T51)</f>
        <v>9.9223781895663291E-2</v>
      </c>
      <c r="W99" s="235"/>
    </row>
    <row r="100" spans="1:23" x14ac:dyDescent="0.3">
      <c r="A100" s="19" t="s">
        <v>166</v>
      </c>
      <c r="B100" s="29">
        <v>17.25</v>
      </c>
      <c r="C100" s="74">
        <f>IF('4_Windgeschwindigkeit Rotorhöhe'!$B$1="Windmessung",D52,N52)</f>
        <v>1.5784047146200954E-6</v>
      </c>
      <c r="D100" s="75">
        <f>IF('4_Windgeschwindigkeit Rotorhöhe'!$B$1="Windmessung",E52,O52)</f>
        <v>39507.837180365896</v>
      </c>
      <c r="E100" s="76">
        <f>IF('4_Windgeschwindigkeit Rotorhöhe'!$B$1="Windmessung",F52,P52)</f>
        <v>0.54626796267660982</v>
      </c>
      <c r="F100" s="77">
        <f>IF('4_Windgeschwindigkeit Rotorhöhe'!$B$1="Windmessung",G52,Q52)</f>
        <v>17778.526731164653</v>
      </c>
      <c r="G100" s="77">
        <f>IF('4_Windgeschwindigkeit Rotorhöhe'!$B$1="Windmessung",H52,R52)</f>
        <v>0.24582058320447442</v>
      </c>
      <c r="H100" s="77">
        <f>IF('4_Windgeschwindigkeit Rotorhöhe'!$B$1="Windmessung",I52,S52)</f>
        <v>3500</v>
      </c>
      <c r="I100" s="77">
        <f>IF('4_Windgeschwindigkeit Rotorhöhe'!$B$1="Windmessung",J52,T52)</f>
        <v>4.8393888550252132E-2</v>
      </c>
      <c r="W100" s="235"/>
    </row>
    <row r="101" spans="1:23" x14ac:dyDescent="0.3">
      <c r="A101" s="19" t="s">
        <v>167</v>
      </c>
      <c r="B101" s="29">
        <v>17.75</v>
      </c>
      <c r="C101" s="74">
        <f>IF('4_Windgeschwindigkeit Rotorhöhe'!$B$1="Windmessung",D53,N53)</f>
        <v>7.524558758538086E-7</v>
      </c>
      <c r="D101" s="75">
        <f>IF('4_Windgeschwindigkeit Rotorhöhe'!$B$1="Windmessung",E53,O53)</f>
        <v>43043.842065398319</v>
      </c>
      <c r="E101" s="76">
        <f>IF('4_Windgeschwindigkeit Rotorhöhe'!$B$1="Windmessung",F53,P53)</f>
        <v>0.28372406488134699</v>
      </c>
      <c r="F101" s="77">
        <f>IF('4_Windgeschwindigkeit Rotorhöhe'!$B$1="Windmessung",G53,Q53)</f>
        <v>19369.728929429246</v>
      </c>
      <c r="G101" s="77">
        <f>IF('4_Windgeschwindigkeit Rotorhöhe'!$B$1="Windmessung",H53,R53)</f>
        <v>0.12767582919660617</v>
      </c>
      <c r="H101" s="77">
        <f>IF('4_Windgeschwindigkeit Rotorhöhe'!$B$1="Windmessung",I53,S53)</f>
        <v>3500</v>
      </c>
      <c r="I101" s="77">
        <f>IF('4_Windgeschwindigkeit Rotorhöhe'!$B$1="Windmessung",J53,T53)</f>
        <v>2.3070297153677772E-2</v>
      </c>
      <c r="W101" s="235"/>
    </row>
    <row r="102" spans="1:23" x14ac:dyDescent="0.3">
      <c r="A102" s="19" t="s">
        <v>168</v>
      </c>
      <c r="B102" s="29">
        <v>18.25</v>
      </c>
      <c r="C102" s="74">
        <f>IF('4_Windgeschwindigkeit Rotorhöhe'!$B$1="Windmessung",D54,N54)</f>
        <v>3.5063229503743539E-7</v>
      </c>
      <c r="D102" s="75">
        <f>IF('4_Windgeschwindigkeit Rotorhöhe'!$B$1="Windmessung",E54,O54)</f>
        <v>46784.776966215228</v>
      </c>
      <c r="E102" s="76">
        <f>IF('4_Windgeschwindigkeit Rotorhöhe'!$B$1="Windmessung",F54,P54)</f>
        <v>0.14370126259139246</v>
      </c>
      <c r="F102" s="77">
        <f>IF('4_Windgeschwindigkeit Rotorhöhe'!$B$1="Windmessung",G54,Q54)</f>
        <v>21053.149634796853</v>
      </c>
      <c r="G102" s="77">
        <f>IF('4_Windgeschwindigkeit Rotorhöhe'!$B$1="Windmessung",H54,R54)</f>
        <v>6.4665568166126605E-2</v>
      </c>
      <c r="H102" s="77">
        <f>IF('4_Windgeschwindigkeit Rotorhöhe'!$B$1="Windmessung",I54,S54)</f>
        <v>3500</v>
      </c>
      <c r="I102" s="77">
        <f>IF('4_Windgeschwindigkeit Rotorhöhe'!$B$1="Windmessung",J54,T54)</f>
        <v>1.0750386165847768E-2</v>
      </c>
      <c r="W102" s="235"/>
    </row>
    <row r="103" spans="1:23" x14ac:dyDescent="0.3">
      <c r="A103" s="19" t="s">
        <v>169</v>
      </c>
      <c r="B103" s="29">
        <v>18.75</v>
      </c>
      <c r="C103" s="74">
        <f>IF('4_Windgeschwindigkeit Rotorhöhe'!$B$1="Windmessung",D55,N55)</f>
        <v>1.5971644582365873E-7</v>
      </c>
      <c r="D103" s="75">
        <f>IF('4_Windgeschwindigkeit Rotorhöhe'!$B$1="Windmessung",E55,O55)</f>
        <v>50736.414559317585</v>
      </c>
      <c r="E103" s="76">
        <f>IF('4_Windgeschwindigkeit Rotorhöhe'!$B$1="Windmessung",F55,P55)</f>
        <v>7.0986132711509456E-2</v>
      </c>
      <c r="F103" s="77">
        <f>IF('4_Windgeschwindigkeit Rotorhöhe'!$B$1="Windmessung",G55,Q55)</f>
        <v>22831.386551692915</v>
      </c>
      <c r="G103" s="77">
        <f>IF('4_Windgeschwindigkeit Rotorhöhe'!$B$1="Windmessung",H55,R55)</f>
        <v>3.1943759720179252E-2</v>
      </c>
      <c r="H103" s="77">
        <f>IF('4_Windgeschwindigkeit Rotorhöhe'!$B$1="Windmessung",I55,S55)</f>
        <v>3500</v>
      </c>
      <c r="I103" s="77">
        <f>IF('4_Windgeschwindigkeit Rotorhöhe'!$B$1="Windmessung",J55,T55)</f>
        <v>4.8969062289533766E-3</v>
      </c>
      <c r="W103" s="235"/>
    </row>
    <row r="104" spans="1:23" x14ac:dyDescent="0.3">
      <c r="A104" s="19" t="s">
        <v>170</v>
      </c>
      <c r="B104" s="29">
        <v>19.25</v>
      </c>
      <c r="C104" s="74">
        <f>IF('4_Windgeschwindigkeit Rotorhöhe'!$B$1="Windmessung",D56,N56)</f>
        <v>7.1119938637942379E-8</v>
      </c>
      <c r="D104" s="75">
        <f>IF('4_Windgeschwindigkeit Rotorhöhe'!$B$1="Windmessung",E56,O56)</f>
        <v>54904.527521206364</v>
      </c>
      <c r="E104" s="76">
        <f>IF('4_Windgeschwindigkeit Rotorhöhe'!$B$1="Windmessung",F56,P56)</f>
        <v>3.4206106063499914E-2</v>
      </c>
      <c r="F104" s="77">
        <f>IF('4_Windgeschwindigkeit Rotorhöhe'!$B$1="Windmessung",G56,Q56)</f>
        <v>24707.037384542866</v>
      </c>
      <c r="G104" s="77">
        <f>IF('4_Windgeschwindigkeit Rotorhöhe'!$B$1="Windmessung",H56,R56)</f>
        <v>1.5392747728574964E-2</v>
      </c>
      <c r="H104" s="77">
        <f>IF('4_Windgeschwindigkeit Rotorhöhe'!$B$1="Windmessung",I56,S56)</f>
        <v>3500</v>
      </c>
      <c r="I104" s="77">
        <f>IF('4_Windgeschwindigkeit Rotorhöhe'!$B$1="Windmessung",J56,T56)</f>
        <v>2.1805373186393135E-3</v>
      </c>
      <c r="W104" s="235"/>
    </row>
    <row r="105" spans="1:23" x14ac:dyDescent="0.3">
      <c r="A105" s="19" t="s">
        <v>171</v>
      </c>
      <c r="B105" s="29">
        <v>19.75</v>
      </c>
      <c r="C105" s="74">
        <f>IF('4_Windgeschwindigkeit Rotorhöhe'!$B$1="Windmessung",D57,N57)</f>
        <v>3.0959430853120968E-8</v>
      </c>
      <c r="D105" s="75">
        <f>IF('4_Windgeschwindigkeit Rotorhöhe'!$B$1="Windmessung",E57,O57)</f>
        <v>59294.888528382537</v>
      </c>
      <c r="E105" s="76">
        <f>IF('4_Windgeschwindigkeit Rotorhöhe'!$B$1="Windmessung",F57,P57)</f>
        <v>1.6081047371720659E-2</v>
      </c>
      <c r="F105" s="77">
        <f>IF('4_Windgeschwindigkeit Rotorhöhe'!$B$1="Windmessung",G57,Q57)</f>
        <v>26682.699837772143</v>
      </c>
      <c r="G105" s="77">
        <f>IF('4_Windgeschwindigkeit Rotorhöhe'!$B$1="Windmessung",H57,R57)</f>
        <v>7.2364713172742975E-3</v>
      </c>
      <c r="H105" s="77">
        <f>IF('4_Windgeschwindigkeit Rotorhöhe'!$B$1="Windmessung",I57,S57)</f>
        <v>3500</v>
      </c>
      <c r="I105" s="77">
        <f>IF('4_Windgeschwindigkeit Rotorhöhe'!$B$1="Windmessung",J57,T57)</f>
        <v>9.492161499566889E-4</v>
      </c>
      <c r="W105" s="235"/>
    </row>
    <row r="106" spans="1:23" ht="15" thickBot="1" x14ac:dyDescent="0.35">
      <c r="A106" s="20" t="s">
        <v>172</v>
      </c>
      <c r="B106" s="351">
        <v>20</v>
      </c>
      <c r="C106" s="78">
        <f>IF('4_Windgeschwindigkeit Rotorhöhe'!$B$1="Windmessung",D58,N58)</f>
        <v>2.0253884836039009E-8</v>
      </c>
      <c r="D106" s="79">
        <f>IF('4_Windgeschwindigkeit Rotorhöhe'!$B$1="Windmessung",E58,O58)</f>
        <v>61575.216010359953</v>
      </c>
      <c r="E106" s="80">
        <f>IF('4_Windgeschwindigkeit Rotorhöhe'!$B$1="Windmessung",F58,P58)</f>
        <v>1.0924923044333771E-2</v>
      </c>
      <c r="F106" s="81">
        <f>IF('4_Windgeschwindigkeit Rotorhöhe'!$B$1="Windmessung",G58,Q58)</f>
        <v>27708.847204661979</v>
      </c>
      <c r="G106" s="81">
        <f>IF('4_Windgeschwindigkeit Rotorhöhe'!$B$1="Windmessung",H58,R58)</f>
        <v>4.916215369950197E-3</v>
      </c>
      <c r="H106" s="81">
        <f>IF('4_Windgeschwindigkeit Rotorhöhe'!$B$1="Windmessung",I58,S58)</f>
        <v>3500</v>
      </c>
      <c r="I106" s="81">
        <f>IF('4_Windgeschwindigkeit Rotorhöhe'!$B$1="Windmessung",J58,T58)</f>
        <v>6.2098410907295606E-4</v>
      </c>
      <c r="W106" s="235"/>
    </row>
    <row r="107" spans="1:23" x14ac:dyDescent="0.3">
      <c r="A107" s="95"/>
      <c r="B107" s="41"/>
      <c r="C107" s="41"/>
      <c r="D107" s="200" t="str">
        <f>IF('4_Windgeschwindigkeit Rotorhöhe'!$B$1="Windmessung",E59,O59)</f>
        <v>∑</v>
      </c>
      <c r="E107" s="201">
        <f>IF('4_Windgeschwindigkeit Rotorhöhe'!$B$1="Windmessung",F59,P59)</f>
        <v>9722.6388402251123</v>
      </c>
      <c r="F107" s="200" t="str">
        <f>IF('4_Windgeschwindigkeit Rotorhöhe'!$B$1="Windmessung",G59,Q59)</f>
        <v>∑</v>
      </c>
      <c r="G107" s="201">
        <f>IF('4_Windgeschwindigkeit Rotorhöhe'!$B$1="Windmessung",H59,R59)</f>
        <v>4375.1874781013012</v>
      </c>
      <c r="H107" s="200" t="str">
        <f>IF('4_Windgeschwindigkeit Rotorhöhe'!$B$1="Windmessung",I59,S59)</f>
        <v>∑</v>
      </c>
      <c r="I107" s="202">
        <f>IF('4_Windgeschwindigkeit Rotorhöhe'!$B$1="Windmessung",J59,T59)</f>
        <v>4140.843356859049</v>
      </c>
    </row>
    <row r="108" spans="1:23" ht="16.2" thickBot="1" x14ac:dyDescent="0.4">
      <c r="A108" s="332" t="s">
        <v>483</v>
      </c>
      <c r="B108" s="90"/>
      <c r="C108" s="90"/>
      <c r="D108" s="203" t="str">
        <f>IF('4_Windgeschwindigkeit Rotorhöhe'!$B$1="Windmessung",E60,O60)</f>
        <v>∑</v>
      </c>
      <c r="E108" s="204">
        <f>IF('4_Windgeschwindigkeit Rotorhöhe'!$B$1="Windmessung",F60,P60)</f>
        <v>9335.4347484131467</v>
      </c>
      <c r="F108" s="203" t="str">
        <f>IF('4_Windgeschwindigkeit Rotorhöhe'!$B$1="Windmessung",G60,Q60)</f>
        <v>∑</v>
      </c>
      <c r="G108" s="204">
        <f>IF('4_Windgeschwindigkeit Rotorhöhe'!$B$1="Windmessung",H60,R60)</f>
        <v>4200.9456367859166</v>
      </c>
      <c r="H108" s="203" t="str">
        <f>IF('4_Windgeschwindigkeit Rotorhöhe'!$B$1="Windmessung",I60,S60)</f>
        <v>∑</v>
      </c>
      <c r="I108" s="205">
        <f>IF('4_Windgeschwindigkeit Rotorhöhe'!$B$1="Windmessung",J60,T60)</f>
        <v>3975.9342701721375</v>
      </c>
    </row>
    <row r="109" spans="1:23" ht="15" thickBot="1" x14ac:dyDescent="0.35"/>
    <row r="110" spans="1:23" x14ac:dyDescent="0.3">
      <c r="G110" s="95"/>
      <c r="H110" s="194" t="s">
        <v>211</v>
      </c>
      <c r="I110" s="195">
        <f>I108/($H$5*$C$4)</f>
        <v>0.12967822146680161</v>
      </c>
    </row>
    <row r="111" spans="1:23" ht="15" thickBot="1" x14ac:dyDescent="0.35">
      <c r="G111" s="88"/>
      <c r="H111" s="196" t="s">
        <v>524</v>
      </c>
      <c r="I111" s="197">
        <f>I108/($C$4)</f>
        <v>1135.9812200491822</v>
      </c>
    </row>
  </sheetData>
  <mergeCells count="1">
    <mergeCell ref="B1:E1"/>
  </mergeCells>
  <hyperlinks>
    <hyperlink ref="E17" location="'7_Erläuterungen_Hinweise'!A37" display="dem Wind entnehmbare Leistung pro Klasse PW" xr:uid="{9D207FE4-ED32-43F0-BCF6-ED9CED23E1BF}"/>
    <hyperlink ref="F17" location="'7_Erläuterungen_Hinweise'!A38" display="Klassenenergieertrag nach relativer Häufigkeit der vW" xr:uid="{87246EA9-0B47-42CF-BE6F-089FDC85D256}"/>
    <hyperlink ref="A60" location="'7_Erläuterungen_Hinweise'!A39" display="Gesamtenergieertrag nach Berücksichtigung des Wirkungsgrad ηges" xr:uid="{BBF518D6-28AF-4D74-A280-97E66C53A60E}"/>
    <hyperlink ref="A108" location="'7_Erläuterungen_Hinweise'!A39" display="Gesamtenergieertrag nach Berücksichtigung des Wirkungsgrad ηges" xr:uid="{FA01744D-7E53-4CCB-839D-85374009CE33}"/>
    <hyperlink ref="L60" location="'7_Erläuterungen_Hinweise'!A39" display="Gesamtenergieertrag nach Berücksichtigung ηges" xr:uid="{D534799B-E32B-4A2F-8BAC-646882AB59D3}"/>
    <hyperlink ref="I62" location="'7_Erläuterungen_Hinweise'!A40" display="Jahresnutzungsgrad" xr:uid="{87543FE8-8B64-4B2A-BE41-AC4912C2EFF0}"/>
    <hyperlink ref="I63" location="'7_Erläuterungen_Hinweise'!A41" display="Volllaststunden" xr:uid="{6C658F06-B13F-4733-B024-28A1179EEBC8}"/>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notEqual" id="{D2413BFD-82B3-4833-B603-688656B88090}">
            <xm:f>'4_Windgeschwindigkeit Rotorhöhe'!$C$12</xm:f>
            <x14:dxf>
              <fill>
                <patternFill>
                  <bgColor rgb="FFFF0000"/>
                </patternFill>
              </fill>
            </x14:dxf>
          </x14:cfRule>
          <xm:sqref>C8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5AA07-FE4A-4FFB-A33B-27FA3B2DAFDB}">
  <dimension ref="A1:R104"/>
  <sheetViews>
    <sheetView showGridLines="0" zoomScaleNormal="100" workbookViewId="0">
      <selection activeCell="J3" sqref="J3"/>
    </sheetView>
  </sheetViews>
  <sheetFormatPr baseColWidth="10" defaultColWidth="10.77734375" defaultRowHeight="14.4" x14ac:dyDescent="0.3"/>
  <cols>
    <col min="1" max="1" width="18.109375" bestFit="1" customWidth="1"/>
    <col min="2" max="2" width="13.5546875" bestFit="1" customWidth="1"/>
    <col min="3" max="3" width="15.5546875" bestFit="1" customWidth="1"/>
    <col min="4" max="4" width="18.77734375" customWidth="1"/>
    <col min="5" max="5" width="21.21875" customWidth="1"/>
    <col min="6" max="6" width="19.88671875" customWidth="1"/>
    <col min="7" max="7" width="18.44140625" customWidth="1"/>
    <col min="8" max="8" width="19.33203125" bestFit="1" customWidth="1"/>
    <col min="9" max="9" width="18.109375" customWidth="1"/>
    <col min="10" max="10" width="16.109375" customWidth="1"/>
    <col min="11" max="11" width="12.33203125" bestFit="1" customWidth="1"/>
    <col min="13" max="13" width="3.44140625" hidden="1" customWidth="1"/>
    <col min="14" max="14" width="0" hidden="1" customWidth="1"/>
    <col min="15" max="15" width="41.109375" hidden="1" customWidth="1"/>
    <col min="16" max="16" width="11.88671875" hidden="1" customWidth="1"/>
    <col min="17" max="17" width="10.6640625" hidden="1" customWidth="1"/>
    <col min="18" max="18" width="5.6640625" hidden="1" customWidth="1"/>
  </cols>
  <sheetData>
    <row r="1" spans="1:13" ht="15" thickBot="1" x14ac:dyDescent="0.35">
      <c r="A1" s="62" t="s">
        <v>254</v>
      </c>
      <c r="B1" s="366" t="str">
        <f>'4_Windgeschwindigkeit Rotorhöhe'!B1</f>
        <v>Abschätzung über Weibullverteilung/Windkarte</v>
      </c>
      <c r="C1" s="367"/>
      <c r="D1" s="368"/>
      <c r="E1" t="s">
        <v>341</v>
      </c>
    </row>
    <row r="3" spans="1:13" ht="15" thickBot="1" x14ac:dyDescent="0.35"/>
    <row r="4" spans="1:13" ht="30" customHeight="1" x14ac:dyDescent="0.3">
      <c r="A4" s="64" t="s">
        <v>123</v>
      </c>
      <c r="B4" s="146">
        <f>'1_Cockpit'!C64</f>
        <v>10000</v>
      </c>
      <c r="C4" s="147" t="s">
        <v>181</v>
      </c>
      <c r="D4" s="64" t="s">
        <v>133</v>
      </c>
      <c r="E4" s="146">
        <f>'1_Cockpit'!C77</f>
        <v>880.06572982786247</v>
      </c>
      <c r="F4" s="147" t="s">
        <v>176</v>
      </c>
      <c r="J4" s="281"/>
    </row>
    <row r="5" spans="1:13" ht="30" customHeight="1" x14ac:dyDescent="0.3">
      <c r="A5" s="65" t="s">
        <v>124</v>
      </c>
      <c r="B5" s="148">
        <f>'1_Cockpit'!C65</f>
        <v>7500</v>
      </c>
      <c r="C5" s="149" t="s">
        <v>181</v>
      </c>
      <c r="D5" s="65" t="s">
        <v>132</v>
      </c>
      <c r="E5" s="150">
        <f>'1_Cockpit'!H13</f>
        <v>29.94</v>
      </c>
      <c r="F5" s="149" t="s">
        <v>49</v>
      </c>
    </row>
    <row r="6" spans="1:13" ht="30" customHeight="1" x14ac:dyDescent="0.3">
      <c r="A6" s="65" t="s">
        <v>129</v>
      </c>
      <c r="B6" s="151">
        <f>'1_Cockpit'!C67</f>
        <v>0.02</v>
      </c>
      <c r="C6" s="149" t="s">
        <v>184</v>
      </c>
      <c r="D6" s="65" t="s">
        <v>113</v>
      </c>
      <c r="E6" s="151">
        <f>'1_Cockpit'!C17</f>
        <v>0.03</v>
      </c>
      <c r="F6" s="149" t="s">
        <v>184</v>
      </c>
      <c r="H6" s="282"/>
    </row>
    <row r="7" spans="1:13" ht="30" customHeight="1" x14ac:dyDescent="0.3">
      <c r="A7" s="65" t="s">
        <v>130</v>
      </c>
      <c r="B7" s="148">
        <f>'1_Cockpit'!C68</f>
        <v>1500</v>
      </c>
      <c r="C7" s="149" t="s">
        <v>51</v>
      </c>
      <c r="D7" s="65" t="s">
        <v>226</v>
      </c>
      <c r="E7" s="148">
        <f>'1_Cockpit'!C76</f>
        <v>0</v>
      </c>
      <c r="F7" s="149" t="s">
        <v>176</v>
      </c>
    </row>
    <row r="8" spans="1:13" ht="30" customHeight="1" x14ac:dyDescent="0.3">
      <c r="A8" s="65" t="s">
        <v>106</v>
      </c>
      <c r="B8" s="148">
        <f>IF('1_Cockpit'!C37="Ist-Daten",'1_Cockpit'!C55,'1_Cockpit'!H55)</f>
        <v>525</v>
      </c>
      <c r="C8" s="149" t="s">
        <v>51</v>
      </c>
      <c r="D8" s="65" t="s">
        <v>134</v>
      </c>
      <c r="E8" s="150">
        <f>'1_Cockpit'!C18</f>
        <v>8.2899999999999991</v>
      </c>
      <c r="F8" s="149" t="s">
        <v>49</v>
      </c>
    </row>
    <row r="9" spans="1:13" ht="30" customHeight="1" x14ac:dyDescent="0.3">
      <c r="A9" s="65" t="s">
        <v>131</v>
      </c>
      <c r="B9" s="151">
        <f>IF('1_Cockpit'!C37="Ist-Daten",'1_Cockpit'!C56,'1_Cockpit'!H56)</f>
        <v>0.01</v>
      </c>
      <c r="C9" s="149" t="s">
        <v>184</v>
      </c>
      <c r="D9" s="65" t="s">
        <v>228</v>
      </c>
      <c r="E9" s="148">
        <f>'1_Cockpit'!C59</f>
        <v>20</v>
      </c>
      <c r="F9" s="149" t="s">
        <v>57</v>
      </c>
    </row>
    <row r="10" spans="1:13" ht="30" customHeight="1" thickBot="1" x14ac:dyDescent="0.35">
      <c r="A10" s="66"/>
      <c r="B10" s="152"/>
      <c r="C10" s="153"/>
      <c r="D10" s="66" t="s">
        <v>223</v>
      </c>
      <c r="E10" s="154">
        <f>'1_Cockpit'!C73</f>
        <v>4856</v>
      </c>
      <c r="F10" s="153" t="s">
        <v>176</v>
      </c>
    </row>
    <row r="13" spans="1:13" ht="15" thickBot="1" x14ac:dyDescent="0.35">
      <c r="D13" s="3"/>
    </row>
    <row r="14" spans="1:13" ht="43.8" thickBot="1" x14ac:dyDescent="0.35">
      <c r="A14" s="24" t="s">
        <v>126</v>
      </c>
      <c r="B14" s="25" t="s">
        <v>421</v>
      </c>
      <c r="C14" s="25" t="s">
        <v>422</v>
      </c>
      <c r="D14" s="25" t="s">
        <v>423</v>
      </c>
      <c r="E14" s="25" t="s">
        <v>424</v>
      </c>
      <c r="F14" s="25" t="s">
        <v>425</v>
      </c>
      <c r="G14" s="24" t="s">
        <v>426</v>
      </c>
      <c r="H14" s="25" t="s">
        <v>427</v>
      </c>
      <c r="I14" s="25" t="s">
        <v>428</v>
      </c>
      <c r="J14" s="25" t="s">
        <v>236</v>
      </c>
      <c r="K14" s="25" t="s">
        <v>429</v>
      </c>
      <c r="L14" s="25" t="s">
        <v>430</v>
      </c>
    </row>
    <row r="15" spans="1:13" x14ac:dyDescent="0.3">
      <c r="A15" s="49">
        <v>0</v>
      </c>
      <c r="B15" s="52">
        <f t="shared" ref="B15:B55" si="0">$B$4</f>
        <v>10000</v>
      </c>
      <c r="C15" s="53">
        <f>B5-F15</f>
        <v>7500</v>
      </c>
      <c r="D15" s="53">
        <v>0</v>
      </c>
      <c r="E15" s="53">
        <v>0</v>
      </c>
      <c r="F15" s="53">
        <v>0</v>
      </c>
      <c r="G15" s="53">
        <f>SUM(B15+F15)</f>
        <v>10000</v>
      </c>
      <c r="H15" s="53">
        <v>0</v>
      </c>
      <c r="I15" s="53">
        <v>0</v>
      </c>
      <c r="J15" s="53">
        <f>SUM(C15,G15,H15)</f>
        <v>17500</v>
      </c>
      <c r="K15" s="53">
        <f>IF($E$9&gt;=A15,((($E$5*(1+$E$6)^A15)*$E$4)/100),((($E$5*(1+$E$6)^A15)*$E$10)/100))</f>
        <v>263.49167951046201</v>
      </c>
      <c r="L15" s="54">
        <v>0</v>
      </c>
    </row>
    <row r="16" spans="1:13" x14ac:dyDescent="0.3">
      <c r="A16" s="50">
        <v>1</v>
      </c>
      <c r="B16" s="55">
        <f t="shared" si="0"/>
        <v>10000</v>
      </c>
      <c r="C16" s="56">
        <f t="shared" ref="C16:C55" si="1">C15-F16+E16</f>
        <v>6150</v>
      </c>
      <c r="D16" s="56">
        <f t="shared" ref="D16:D55" si="2">IF((A16)&lt;$E$9,($B$4+$B$5)/$E$9,IF(A16-1&lt;$E$9,(($B$4+$B$5)/$E$9)-1,0))</f>
        <v>875</v>
      </c>
      <c r="E16" s="56">
        <f t="shared" ref="E16:E55" si="3">IF(C15&gt;0,C15*$B$6,0)</f>
        <v>150</v>
      </c>
      <c r="F16" s="56">
        <f>IF($E$9&gt;=A16,IF(C15&gt;B$7,B$7,C15+E16),0)</f>
        <v>1500</v>
      </c>
      <c r="G16" s="56">
        <f>G15+F16</f>
        <v>11500</v>
      </c>
      <c r="H16" s="56">
        <f>IF(E9&gt;=A16,$B$8,0)</f>
        <v>525</v>
      </c>
      <c r="I16" s="56">
        <f>H16+I15</f>
        <v>525</v>
      </c>
      <c r="J16" s="56">
        <f t="shared" ref="J16:J55" si="4">SUM(C16,G16,I16)</f>
        <v>18175</v>
      </c>
      <c r="K16" s="56">
        <f t="shared" ref="K16:K55" si="5">IF($E$9&gt;=A16,((($E$5*(1+$E$6)^A16)*$E$4)/100),((($E$5*(1+$E$6)^A16)*$E$10)/100))</f>
        <v>271.3964298957759</v>
      </c>
      <c r="L16" s="57">
        <f t="shared" ref="L16:L55" si="6">IF($E$9&gt;=A16,($E$7*$E$8*(-1))/100,0)</f>
        <v>0</v>
      </c>
      <c r="M16" t="str">
        <f t="shared" ref="M16:M55" si="7">IF(AND(F16&gt;0,F17=0),A16,"")</f>
        <v/>
      </c>
    </row>
    <row r="17" spans="1:13" x14ac:dyDescent="0.3">
      <c r="A17" s="50">
        <v>2</v>
      </c>
      <c r="B17" s="55">
        <f t="shared" si="0"/>
        <v>10000</v>
      </c>
      <c r="C17" s="56">
        <f t="shared" si="1"/>
        <v>4773</v>
      </c>
      <c r="D17" s="56">
        <f t="shared" si="2"/>
        <v>875</v>
      </c>
      <c r="E17" s="56">
        <f t="shared" si="3"/>
        <v>123</v>
      </c>
      <c r="F17" s="56">
        <f t="shared" ref="F17:F55" si="8">IF(C16&gt;B$7,B$7,C16+E17)</f>
        <v>1500</v>
      </c>
      <c r="G17" s="56">
        <f t="shared" ref="G17:G45" si="9">G16+F17</f>
        <v>13000</v>
      </c>
      <c r="H17" s="56">
        <f t="shared" ref="H17:H55" si="10">IF($E$9&gt;=A17,H16*(100%+$B$9),0)</f>
        <v>530.25</v>
      </c>
      <c r="I17" s="56">
        <f t="shared" ref="I17:I45" si="11">H17+I16</f>
        <v>1055.25</v>
      </c>
      <c r="J17" s="56">
        <f t="shared" si="4"/>
        <v>18828.25</v>
      </c>
      <c r="K17" s="56">
        <f t="shared" si="5"/>
        <v>279.53832279264918</v>
      </c>
      <c r="L17" s="57">
        <f t="shared" si="6"/>
        <v>0</v>
      </c>
      <c r="M17" t="str">
        <f t="shared" si="7"/>
        <v/>
      </c>
    </row>
    <row r="18" spans="1:13" x14ac:dyDescent="0.3">
      <c r="A18" s="50">
        <v>3</v>
      </c>
      <c r="B18" s="55">
        <f t="shared" si="0"/>
        <v>10000</v>
      </c>
      <c r="C18" s="56">
        <f t="shared" si="1"/>
        <v>3368.46</v>
      </c>
      <c r="D18" s="56">
        <f t="shared" si="2"/>
        <v>875</v>
      </c>
      <c r="E18" s="56">
        <f t="shared" si="3"/>
        <v>95.460000000000008</v>
      </c>
      <c r="F18" s="56">
        <f t="shared" si="8"/>
        <v>1500</v>
      </c>
      <c r="G18" s="56">
        <f t="shared" si="9"/>
        <v>14500</v>
      </c>
      <c r="H18" s="56">
        <f t="shared" si="10"/>
        <v>535.55250000000001</v>
      </c>
      <c r="I18" s="56">
        <f t="shared" si="11"/>
        <v>1590.8025</v>
      </c>
      <c r="J18" s="56">
        <f t="shared" si="4"/>
        <v>19459.262500000001</v>
      </c>
      <c r="K18" s="56">
        <f t="shared" si="5"/>
        <v>287.92447247642866</v>
      </c>
      <c r="L18" s="57">
        <f t="shared" si="6"/>
        <v>0</v>
      </c>
      <c r="M18" t="str">
        <f t="shared" si="7"/>
        <v/>
      </c>
    </row>
    <row r="19" spans="1:13" x14ac:dyDescent="0.3">
      <c r="A19" s="50">
        <v>4</v>
      </c>
      <c r="B19" s="55">
        <f t="shared" si="0"/>
        <v>10000</v>
      </c>
      <c r="C19" s="56">
        <f t="shared" si="1"/>
        <v>1935.8292000000001</v>
      </c>
      <c r="D19" s="56">
        <f t="shared" si="2"/>
        <v>875</v>
      </c>
      <c r="E19" s="56">
        <f t="shared" si="3"/>
        <v>67.369200000000006</v>
      </c>
      <c r="F19" s="56">
        <f t="shared" si="8"/>
        <v>1500</v>
      </c>
      <c r="G19" s="56">
        <f t="shared" si="9"/>
        <v>16000</v>
      </c>
      <c r="H19" s="56">
        <f t="shared" si="10"/>
        <v>540.90802500000007</v>
      </c>
      <c r="I19" s="56">
        <f t="shared" si="11"/>
        <v>2131.710525</v>
      </c>
      <c r="J19" s="56">
        <f t="shared" si="4"/>
        <v>20067.539724999999</v>
      </c>
      <c r="K19" s="56">
        <f t="shared" si="5"/>
        <v>296.56220665072146</v>
      </c>
      <c r="L19" s="57">
        <f t="shared" si="6"/>
        <v>0</v>
      </c>
      <c r="M19" t="str">
        <f t="shared" si="7"/>
        <v/>
      </c>
    </row>
    <row r="20" spans="1:13" x14ac:dyDescent="0.3">
      <c r="A20" s="50">
        <v>5</v>
      </c>
      <c r="B20" s="55">
        <f t="shared" si="0"/>
        <v>10000</v>
      </c>
      <c r="C20" s="56">
        <f t="shared" si="1"/>
        <v>474.54578400000014</v>
      </c>
      <c r="D20" s="56">
        <f t="shared" si="2"/>
        <v>875</v>
      </c>
      <c r="E20" s="56">
        <f t="shared" si="3"/>
        <v>38.716584000000005</v>
      </c>
      <c r="F20" s="56">
        <f t="shared" si="8"/>
        <v>1500</v>
      </c>
      <c r="G20" s="56">
        <f t="shared" si="9"/>
        <v>17500</v>
      </c>
      <c r="H20" s="56">
        <f t="shared" si="10"/>
        <v>546.31710525000005</v>
      </c>
      <c r="I20" s="56">
        <f t="shared" si="11"/>
        <v>2678.0276302500001</v>
      </c>
      <c r="J20" s="56">
        <f t="shared" si="4"/>
        <v>20652.57341425</v>
      </c>
      <c r="K20" s="56">
        <f t="shared" si="5"/>
        <v>305.45907285024316</v>
      </c>
      <c r="L20" s="57">
        <f t="shared" si="6"/>
        <v>0</v>
      </c>
      <c r="M20" t="str">
        <f t="shared" si="7"/>
        <v/>
      </c>
    </row>
    <row r="21" spans="1:13" x14ac:dyDescent="0.3">
      <c r="A21" s="50">
        <v>6</v>
      </c>
      <c r="B21" s="55">
        <f t="shared" si="0"/>
        <v>10000</v>
      </c>
      <c r="C21" s="56">
        <f t="shared" si="1"/>
        <v>0</v>
      </c>
      <c r="D21" s="56">
        <f t="shared" si="2"/>
        <v>875</v>
      </c>
      <c r="E21" s="56">
        <f t="shared" si="3"/>
        <v>9.4909156800000023</v>
      </c>
      <c r="F21" s="56">
        <f t="shared" si="8"/>
        <v>484.03669968000014</v>
      </c>
      <c r="G21" s="56">
        <f t="shared" si="9"/>
        <v>17984.03669968</v>
      </c>
      <c r="H21" s="56">
        <f t="shared" si="10"/>
        <v>551.78027630250006</v>
      </c>
      <c r="I21" s="56">
        <f t="shared" si="11"/>
        <v>3229.8079065525003</v>
      </c>
      <c r="J21" s="56">
        <f t="shared" si="4"/>
        <v>21213.844606232502</v>
      </c>
      <c r="K21" s="56">
        <f t="shared" si="5"/>
        <v>314.6228450357504</v>
      </c>
      <c r="L21" s="57">
        <f t="shared" si="6"/>
        <v>0</v>
      </c>
      <c r="M21">
        <f t="shared" si="7"/>
        <v>6</v>
      </c>
    </row>
    <row r="22" spans="1:13" x14ac:dyDescent="0.3">
      <c r="A22" s="50">
        <v>7</v>
      </c>
      <c r="B22" s="55">
        <f t="shared" si="0"/>
        <v>10000</v>
      </c>
      <c r="C22" s="56">
        <f t="shared" si="1"/>
        <v>0</v>
      </c>
      <c r="D22" s="56">
        <f t="shared" si="2"/>
        <v>875</v>
      </c>
      <c r="E22" s="56">
        <f t="shared" si="3"/>
        <v>0</v>
      </c>
      <c r="F22" s="56">
        <f t="shared" si="8"/>
        <v>0</v>
      </c>
      <c r="G22" s="56">
        <f t="shared" si="9"/>
        <v>17984.03669968</v>
      </c>
      <c r="H22" s="56">
        <f t="shared" si="10"/>
        <v>557.29807906552503</v>
      </c>
      <c r="I22" s="56">
        <f t="shared" si="11"/>
        <v>3787.1059856180254</v>
      </c>
      <c r="J22" s="56">
        <f t="shared" si="4"/>
        <v>21771.142685298026</v>
      </c>
      <c r="K22" s="56">
        <f t="shared" si="5"/>
        <v>324.06153038682294</v>
      </c>
      <c r="L22" s="57">
        <f t="shared" si="6"/>
        <v>0</v>
      </c>
      <c r="M22" t="str">
        <f t="shared" si="7"/>
        <v/>
      </c>
    </row>
    <row r="23" spans="1:13" x14ac:dyDescent="0.3">
      <c r="A23" s="50">
        <v>8</v>
      </c>
      <c r="B23" s="55">
        <f t="shared" si="0"/>
        <v>10000</v>
      </c>
      <c r="C23" s="56">
        <f t="shared" si="1"/>
        <v>0</v>
      </c>
      <c r="D23" s="56">
        <f t="shared" si="2"/>
        <v>875</v>
      </c>
      <c r="E23" s="56">
        <f t="shared" si="3"/>
        <v>0</v>
      </c>
      <c r="F23" s="56">
        <f t="shared" si="8"/>
        <v>0</v>
      </c>
      <c r="G23" s="56">
        <f t="shared" si="9"/>
        <v>17984.03669968</v>
      </c>
      <c r="H23" s="56">
        <f t="shared" si="10"/>
        <v>562.8710598561803</v>
      </c>
      <c r="I23" s="56">
        <f t="shared" si="11"/>
        <v>4349.9770454742056</v>
      </c>
      <c r="J23" s="56">
        <f t="shared" si="4"/>
        <v>22334.013745154207</v>
      </c>
      <c r="K23" s="56">
        <f t="shared" si="5"/>
        <v>333.78337629842758</v>
      </c>
      <c r="L23" s="57">
        <f t="shared" si="6"/>
        <v>0</v>
      </c>
      <c r="M23" t="str">
        <f t="shared" si="7"/>
        <v/>
      </c>
    </row>
    <row r="24" spans="1:13" x14ac:dyDescent="0.3">
      <c r="A24" s="50">
        <v>9</v>
      </c>
      <c r="B24" s="55">
        <f t="shared" si="0"/>
        <v>10000</v>
      </c>
      <c r="C24" s="56">
        <f t="shared" si="1"/>
        <v>0</v>
      </c>
      <c r="D24" s="56">
        <f t="shared" si="2"/>
        <v>875</v>
      </c>
      <c r="E24" s="56">
        <f t="shared" si="3"/>
        <v>0</v>
      </c>
      <c r="F24" s="56">
        <f t="shared" si="8"/>
        <v>0</v>
      </c>
      <c r="G24" s="56">
        <f t="shared" si="9"/>
        <v>17984.03669968</v>
      </c>
      <c r="H24" s="56">
        <f t="shared" si="10"/>
        <v>568.49977045474213</v>
      </c>
      <c r="I24" s="56">
        <f t="shared" si="11"/>
        <v>4918.4768159289479</v>
      </c>
      <c r="J24" s="56">
        <f t="shared" si="4"/>
        <v>22902.513515608949</v>
      </c>
      <c r="K24" s="56">
        <f t="shared" si="5"/>
        <v>343.79687758738044</v>
      </c>
      <c r="L24" s="57">
        <f t="shared" si="6"/>
        <v>0</v>
      </c>
      <c r="M24" t="str">
        <f t="shared" si="7"/>
        <v/>
      </c>
    </row>
    <row r="25" spans="1:13" x14ac:dyDescent="0.3">
      <c r="A25" s="50">
        <v>10</v>
      </c>
      <c r="B25" s="55">
        <f t="shared" si="0"/>
        <v>10000</v>
      </c>
      <c r="C25" s="56">
        <f t="shared" si="1"/>
        <v>0</v>
      </c>
      <c r="D25" s="56">
        <f t="shared" si="2"/>
        <v>875</v>
      </c>
      <c r="E25" s="56">
        <f t="shared" si="3"/>
        <v>0</v>
      </c>
      <c r="F25" s="56">
        <f t="shared" si="8"/>
        <v>0</v>
      </c>
      <c r="G25" s="56">
        <f t="shared" si="9"/>
        <v>17984.03669968</v>
      </c>
      <c r="H25" s="56">
        <f t="shared" si="10"/>
        <v>574.18476815928955</v>
      </c>
      <c r="I25" s="56">
        <f t="shared" si="11"/>
        <v>5492.6615840882378</v>
      </c>
      <c r="J25" s="56">
        <f t="shared" si="4"/>
        <v>23476.698283768237</v>
      </c>
      <c r="K25" s="56">
        <f t="shared" si="5"/>
        <v>354.11078391500189</v>
      </c>
      <c r="L25" s="57">
        <f t="shared" si="6"/>
        <v>0</v>
      </c>
      <c r="M25" t="str">
        <f t="shared" si="7"/>
        <v/>
      </c>
    </row>
    <row r="26" spans="1:13" x14ac:dyDescent="0.3">
      <c r="A26" s="50">
        <v>11</v>
      </c>
      <c r="B26" s="55">
        <f t="shared" si="0"/>
        <v>10000</v>
      </c>
      <c r="C26" s="56">
        <f t="shared" si="1"/>
        <v>0</v>
      </c>
      <c r="D26" s="56">
        <f t="shared" si="2"/>
        <v>875</v>
      </c>
      <c r="E26" s="56">
        <f t="shared" si="3"/>
        <v>0</v>
      </c>
      <c r="F26" s="56">
        <f t="shared" si="8"/>
        <v>0</v>
      </c>
      <c r="G26" s="56">
        <f t="shared" si="9"/>
        <v>17984.03669968</v>
      </c>
      <c r="H26" s="56">
        <f t="shared" si="10"/>
        <v>579.92661584088239</v>
      </c>
      <c r="I26" s="56">
        <f t="shared" si="11"/>
        <v>6072.5881999291205</v>
      </c>
      <c r="J26" s="56">
        <f t="shared" si="4"/>
        <v>24056.62489960912</v>
      </c>
      <c r="K26" s="56">
        <f t="shared" si="5"/>
        <v>364.73410743245194</v>
      </c>
      <c r="L26" s="57">
        <f t="shared" si="6"/>
        <v>0</v>
      </c>
      <c r="M26" t="str">
        <f t="shared" si="7"/>
        <v/>
      </c>
    </row>
    <row r="27" spans="1:13" x14ac:dyDescent="0.3">
      <c r="A27" s="50">
        <v>12</v>
      </c>
      <c r="B27" s="55">
        <f t="shared" si="0"/>
        <v>10000</v>
      </c>
      <c r="C27" s="56">
        <f t="shared" si="1"/>
        <v>0</v>
      </c>
      <c r="D27" s="56">
        <f t="shared" si="2"/>
        <v>875</v>
      </c>
      <c r="E27" s="56">
        <f t="shared" si="3"/>
        <v>0</v>
      </c>
      <c r="F27" s="56">
        <f t="shared" si="8"/>
        <v>0</v>
      </c>
      <c r="G27" s="56">
        <f t="shared" si="9"/>
        <v>17984.03669968</v>
      </c>
      <c r="H27" s="56">
        <f t="shared" si="10"/>
        <v>585.72588199929123</v>
      </c>
      <c r="I27" s="56">
        <f t="shared" si="11"/>
        <v>6658.3140819284117</v>
      </c>
      <c r="J27" s="56">
        <f t="shared" si="4"/>
        <v>24642.350781608413</v>
      </c>
      <c r="K27" s="56">
        <f t="shared" si="5"/>
        <v>375.67613065542542</v>
      </c>
      <c r="L27" s="57">
        <f t="shared" si="6"/>
        <v>0</v>
      </c>
      <c r="M27" t="str">
        <f t="shared" si="7"/>
        <v/>
      </c>
    </row>
    <row r="28" spans="1:13" x14ac:dyDescent="0.3">
      <c r="A28" s="50">
        <v>13</v>
      </c>
      <c r="B28" s="55">
        <f t="shared" si="0"/>
        <v>10000</v>
      </c>
      <c r="C28" s="56">
        <f t="shared" si="1"/>
        <v>0</v>
      </c>
      <c r="D28" s="56">
        <f t="shared" si="2"/>
        <v>875</v>
      </c>
      <c r="E28" s="56">
        <f t="shared" si="3"/>
        <v>0</v>
      </c>
      <c r="F28" s="56">
        <f t="shared" si="8"/>
        <v>0</v>
      </c>
      <c r="G28" s="56">
        <f t="shared" si="9"/>
        <v>17984.03669968</v>
      </c>
      <c r="H28" s="56">
        <f t="shared" si="10"/>
        <v>591.58314081928415</v>
      </c>
      <c r="I28" s="56">
        <f t="shared" si="11"/>
        <v>7249.8972227476961</v>
      </c>
      <c r="J28" s="56">
        <f t="shared" si="4"/>
        <v>25233.933922427696</v>
      </c>
      <c r="K28" s="56">
        <f t="shared" si="5"/>
        <v>386.94641457508811</v>
      </c>
      <c r="L28" s="57">
        <f t="shared" si="6"/>
        <v>0</v>
      </c>
      <c r="M28" t="str">
        <f t="shared" si="7"/>
        <v/>
      </c>
    </row>
    <row r="29" spans="1:13" x14ac:dyDescent="0.3">
      <c r="A29" s="50">
        <v>14</v>
      </c>
      <c r="B29" s="55">
        <f t="shared" si="0"/>
        <v>10000</v>
      </c>
      <c r="C29" s="56">
        <f t="shared" si="1"/>
        <v>0</v>
      </c>
      <c r="D29" s="56">
        <f t="shared" si="2"/>
        <v>875</v>
      </c>
      <c r="E29" s="56">
        <f t="shared" si="3"/>
        <v>0</v>
      </c>
      <c r="F29" s="56">
        <f t="shared" si="8"/>
        <v>0</v>
      </c>
      <c r="G29" s="56">
        <f t="shared" si="9"/>
        <v>17984.03669968</v>
      </c>
      <c r="H29" s="56">
        <f t="shared" si="10"/>
        <v>597.498972227477</v>
      </c>
      <c r="I29" s="56">
        <f t="shared" si="11"/>
        <v>7847.3961949751729</v>
      </c>
      <c r="J29" s="56">
        <f t="shared" si="4"/>
        <v>25831.432894655172</v>
      </c>
      <c r="K29" s="56">
        <f t="shared" si="5"/>
        <v>398.5548070123408</v>
      </c>
      <c r="L29" s="57">
        <f t="shared" si="6"/>
        <v>0</v>
      </c>
      <c r="M29" t="str">
        <f t="shared" si="7"/>
        <v/>
      </c>
    </row>
    <row r="30" spans="1:13" x14ac:dyDescent="0.3">
      <c r="A30" s="50">
        <v>15</v>
      </c>
      <c r="B30" s="55">
        <f t="shared" si="0"/>
        <v>10000</v>
      </c>
      <c r="C30" s="56">
        <f t="shared" si="1"/>
        <v>0</v>
      </c>
      <c r="D30" s="56">
        <f t="shared" si="2"/>
        <v>875</v>
      </c>
      <c r="E30" s="56">
        <f t="shared" si="3"/>
        <v>0</v>
      </c>
      <c r="F30" s="56">
        <f t="shared" si="8"/>
        <v>0</v>
      </c>
      <c r="G30" s="56">
        <f t="shared" si="9"/>
        <v>17984.03669968</v>
      </c>
      <c r="H30" s="56">
        <f t="shared" si="10"/>
        <v>603.47396194975181</v>
      </c>
      <c r="I30" s="56">
        <f t="shared" si="11"/>
        <v>8450.8701569249242</v>
      </c>
      <c r="J30" s="56">
        <f t="shared" si="4"/>
        <v>26434.906856604925</v>
      </c>
      <c r="K30" s="56">
        <f t="shared" si="5"/>
        <v>410.51145122271112</v>
      </c>
      <c r="L30" s="57">
        <f t="shared" si="6"/>
        <v>0</v>
      </c>
      <c r="M30" t="str">
        <f t="shared" si="7"/>
        <v/>
      </c>
    </row>
    <row r="31" spans="1:13" x14ac:dyDescent="0.3">
      <c r="A31" s="50">
        <v>16</v>
      </c>
      <c r="B31" s="55">
        <f t="shared" si="0"/>
        <v>10000</v>
      </c>
      <c r="C31" s="56">
        <f t="shared" si="1"/>
        <v>0</v>
      </c>
      <c r="D31" s="56">
        <f t="shared" si="2"/>
        <v>875</v>
      </c>
      <c r="E31" s="56">
        <f t="shared" si="3"/>
        <v>0</v>
      </c>
      <c r="F31" s="56">
        <f t="shared" si="8"/>
        <v>0</v>
      </c>
      <c r="G31" s="56">
        <f t="shared" si="9"/>
        <v>17984.03669968</v>
      </c>
      <c r="H31" s="56">
        <f t="shared" si="10"/>
        <v>609.5087015692493</v>
      </c>
      <c r="I31" s="56">
        <f t="shared" si="11"/>
        <v>9060.378858494174</v>
      </c>
      <c r="J31" s="56">
        <f t="shared" si="4"/>
        <v>27044.415558174172</v>
      </c>
      <c r="K31" s="56">
        <f t="shared" si="5"/>
        <v>422.82679475939239</v>
      </c>
      <c r="L31" s="57">
        <f t="shared" si="6"/>
        <v>0</v>
      </c>
      <c r="M31" t="str">
        <f t="shared" si="7"/>
        <v/>
      </c>
    </row>
    <row r="32" spans="1:13" x14ac:dyDescent="0.3">
      <c r="A32" s="50">
        <v>17</v>
      </c>
      <c r="B32" s="55">
        <f t="shared" si="0"/>
        <v>10000</v>
      </c>
      <c r="C32" s="56">
        <f t="shared" si="1"/>
        <v>0</v>
      </c>
      <c r="D32" s="56">
        <f t="shared" si="2"/>
        <v>875</v>
      </c>
      <c r="E32" s="56">
        <f t="shared" si="3"/>
        <v>0</v>
      </c>
      <c r="F32" s="56">
        <f t="shared" si="8"/>
        <v>0</v>
      </c>
      <c r="G32" s="56">
        <f t="shared" si="9"/>
        <v>17984.03669968</v>
      </c>
      <c r="H32" s="56">
        <f t="shared" si="10"/>
        <v>615.60378858494175</v>
      </c>
      <c r="I32" s="56">
        <f t="shared" si="11"/>
        <v>9675.9826470791158</v>
      </c>
      <c r="J32" s="56">
        <f t="shared" si="4"/>
        <v>27660.019346759116</v>
      </c>
      <c r="K32" s="56">
        <f t="shared" si="5"/>
        <v>435.5115986021741</v>
      </c>
      <c r="L32" s="57">
        <f t="shared" si="6"/>
        <v>0</v>
      </c>
      <c r="M32" t="str">
        <f t="shared" si="7"/>
        <v/>
      </c>
    </row>
    <row r="33" spans="1:13" x14ac:dyDescent="0.3">
      <c r="A33" s="50">
        <v>18</v>
      </c>
      <c r="B33" s="55">
        <f t="shared" si="0"/>
        <v>10000</v>
      </c>
      <c r="C33" s="56">
        <f t="shared" si="1"/>
        <v>0</v>
      </c>
      <c r="D33" s="56">
        <f t="shared" si="2"/>
        <v>875</v>
      </c>
      <c r="E33" s="56">
        <f t="shared" si="3"/>
        <v>0</v>
      </c>
      <c r="F33" s="56">
        <f t="shared" si="8"/>
        <v>0</v>
      </c>
      <c r="G33" s="56">
        <f t="shared" si="9"/>
        <v>17984.03669968</v>
      </c>
      <c r="H33" s="56">
        <f t="shared" si="10"/>
        <v>621.75982647079115</v>
      </c>
      <c r="I33" s="56">
        <f t="shared" si="11"/>
        <v>10297.742473549906</v>
      </c>
      <c r="J33" s="56">
        <f t="shared" si="4"/>
        <v>28281.779173229908</v>
      </c>
      <c r="K33" s="56">
        <f t="shared" si="5"/>
        <v>448.57694656023938</v>
      </c>
      <c r="L33" s="57">
        <f t="shared" si="6"/>
        <v>0</v>
      </c>
      <c r="M33" t="str">
        <f t="shared" si="7"/>
        <v/>
      </c>
    </row>
    <row r="34" spans="1:13" x14ac:dyDescent="0.3">
      <c r="A34" s="50">
        <v>19</v>
      </c>
      <c r="B34" s="55">
        <f t="shared" si="0"/>
        <v>10000</v>
      </c>
      <c r="C34" s="56">
        <f t="shared" si="1"/>
        <v>0</v>
      </c>
      <c r="D34" s="56">
        <f t="shared" si="2"/>
        <v>875</v>
      </c>
      <c r="E34" s="56">
        <f t="shared" si="3"/>
        <v>0</v>
      </c>
      <c r="F34" s="56">
        <f t="shared" si="8"/>
        <v>0</v>
      </c>
      <c r="G34" s="56">
        <f t="shared" si="9"/>
        <v>17984.03669968</v>
      </c>
      <c r="H34" s="56">
        <f t="shared" si="10"/>
        <v>627.97742473549908</v>
      </c>
      <c r="I34" s="56">
        <f t="shared" si="11"/>
        <v>10925.719898285406</v>
      </c>
      <c r="J34" s="56">
        <f t="shared" si="4"/>
        <v>28909.756597965406</v>
      </c>
      <c r="K34" s="56">
        <f t="shared" si="5"/>
        <v>462.03425495704653</v>
      </c>
      <c r="L34" s="57">
        <f t="shared" si="6"/>
        <v>0</v>
      </c>
      <c r="M34" t="str">
        <f t="shared" si="7"/>
        <v/>
      </c>
    </row>
    <row r="35" spans="1:13" x14ac:dyDescent="0.3">
      <c r="A35" s="50">
        <v>20</v>
      </c>
      <c r="B35" s="55">
        <f t="shared" si="0"/>
        <v>10000</v>
      </c>
      <c r="C35" s="56">
        <f t="shared" si="1"/>
        <v>0</v>
      </c>
      <c r="D35" s="56">
        <f t="shared" si="2"/>
        <v>874</v>
      </c>
      <c r="E35" s="56">
        <f t="shared" si="3"/>
        <v>0</v>
      </c>
      <c r="F35" s="56">
        <f t="shared" si="8"/>
        <v>0</v>
      </c>
      <c r="G35" s="56">
        <f t="shared" si="9"/>
        <v>17984.03669968</v>
      </c>
      <c r="H35" s="56">
        <f t="shared" si="10"/>
        <v>634.25719898285411</v>
      </c>
      <c r="I35" s="56">
        <f t="shared" si="11"/>
        <v>11559.97709726826</v>
      </c>
      <c r="J35" s="56">
        <f t="shared" si="4"/>
        <v>29544.01379694826</v>
      </c>
      <c r="K35" s="56">
        <f t="shared" si="5"/>
        <v>475.89528260575787</v>
      </c>
      <c r="L35" s="57">
        <f t="shared" si="6"/>
        <v>0</v>
      </c>
      <c r="M35" t="str">
        <f t="shared" si="7"/>
        <v/>
      </c>
    </row>
    <row r="36" spans="1:13" x14ac:dyDescent="0.3">
      <c r="A36" s="50">
        <v>21</v>
      </c>
      <c r="B36" s="55">
        <f t="shared" si="0"/>
        <v>10000</v>
      </c>
      <c r="C36" s="56">
        <f t="shared" si="1"/>
        <v>0</v>
      </c>
      <c r="D36" s="56">
        <f t="shared" si="2"/>
        <v>0</v>
      </c>
      <c r="E36" s="56">
        <f t="shared" si="3"/>
        <v>0</v>
      </c>
      <c r="F36" s="56">
        <f t="shared" si="8"/>
        <v>0</v>
      </c>
      <c r="G36" s="56">
        <f t="shared" si="9"/>
        <v>17984.03669968</v>
      </c>
      <c r="H36" s="56">
        <f t="shared" si="10"/>
        <v>0</v>
      </c>
      <c r="I36" s="56">
        <f t="shared" si="11"/>
        <v>11559.97709726826</v>
      </c>
      <c r="J36" s="56">
        <f t="shared" si="4"/>
        <v>29544.01379694826</v>
      </c>
      <c r="K36" s="56">
        <f t="shared" si="5"/>
        <v>2704.6569778022608</v>
      </c>
      <c r="L36" s="57">
        <f t="shared" si="6"/>
        <v>0</v>
      </c>
      <c r="M36" t="str">
        <f t="shared" si="7"/>
        <v/>
      </c>
    </row>
    <row r="37" spans="1:13" x14ac:dyDescent="0.3">
      <c r="A37" s="50">
        <v>22</v>
      </c>
      <c r="B37" s="55">
        <f t="shared" si="0"/>
        <v>10000</v>
      </c>
      <c r="C37" s="56">
        <f t="shared" si="1"/>
        <v>0</v>
      </c>
      <c r="D37" s="56">
        <f t="shared" si="2"/>
        <v>0</v>
      </c>
      <c r="E37" s="56">
        <f t="shared" si="3"/>
        <v>0</v>
      </c>
      <c r="F37" s="56">
        <f t="shared" si="8"/>
        <v>0</v>
      </c>
      <c r="G37" s="56">
        <f t="shared" si="9"/>
        <v>17984.03669968</v>
      </c>
      <c r="H37" s="56">
        <f t="shared" si="10"/>
        <v>0</v>
      </c>
      <c r="I37" s="56">
        <f t="shared" si="11"/>
        <v>11559.97709726826</v>
      </c>
      <c r="J37" s="56">
        <f t="shared" si="4"/>
        <v>29544.01379694826</v>
      </c>
      <c r="K37" s="56">
        <f t="shared" si="5"/>
        <v>2785.7966871363287</v>
      </c>
      <c r="L37" s="57">
        <f t="shared" si="6"/>
        <v>0</v>
      </c>
      <c r="M37" t="str">
        <f t="shared" si="7"/>
        <v/>
      </c>
    </row>
    <row r="38" spans="1:13" x14ac:dyDescent="0.3">
      <c r="A38" s="50">
        <v>23</v>
      </c>
      <c r="B38" s="55">
        <f t="shared" si="0"/>
        <v>10000</v>
      </c>
      <c r="C38" s="56">
        <f t="shared" si="1"/>
        <v>0</v>
      </c>
      <c r="D38" s="56">
        <f t="shared" si="2"/>
        <v>0</v>
      </c>
      <c r="E38" s="56">
        <f t="shared" si="3"/>
        <v>0</v>
      </c>
      <c r="F38" s="56">
        <f t="shared" si="8"/>
        <v>0</v>
      </c>
      <c r="G38" s="56">
        <f t="shared" si="9"/>
        <v>17984.03669968</v>
      </c>
      <c r="H38" s="56">
        <f t="shared" si="10"/>
        <v>0</v>
      </c>
      <c r="I38" s="56">
        <f t="shared" si="11"/>
        <v>11559.97709726826</v>
      </c>
      <c r="J38" s="56">
        <f t="shared" si="4"/>
        <v>29544.01379694826</v>
      </c>
      <c r="K38" s="56">
        <f t="shared" si="5"/>
        <v>2869.3705877504185</v>
      </c>
      <c r="L38" s="57">
        <f t="shared" si="6"/>
        <v>0</v>
      </c>
      <c r="M38" t="str">
        <f t="shared" si="7"/>
        <v/>
      </c>
    </row>
    <row r="39" spans="1:13" x14ac:dyDescent="0.3">
      <c r="A39" s="50">
        <v>24</v>
      </c>
      <c r="B39" s="55">
        <f t="shared" si="0"/>
        <v>10000</v>
      </c>
      <c r="C39" s="56">
        <f t="shared" si="1"/>
        <v>0</v>
      </c>
      <c r="D39" s="56">
        <f t="shared" si="2"/>
        <v>0</v>
      </c>
      <c r="E39" s="56">
        <f t="shared" si="3"/>
        <v>0</v>
      </c>
      <c r="F39" s="56">
        <f t="shared" si="8"/>
        <v>0</v>
      </c>
      <c r="G39" s="56">
        <f t="shared" si="9"/>
        <v>17984.03669968</v>
      </c>
      <c r="H39" s="56">
        <f t="shared" si="10"/>
        <v>0</v>
      </c>
      <c r="I39" s="56">
        <f t="shared" si="11"/>
        <v>11559.97709726826</v>
      </c>
      <c r="J39" s="56">
        <f t="shared" si="4"/>
        <v>29544.01379694826</v>
      </c>
      <c r="K39" s="56">
        <f t="shared" si="5"/>
        <v>2955.4517053829304</v>
      </c>
      <c r="L39" s="57">
        <f t="shared" si="6"/>
        <v>0</v>
      </c>
      <c r="M39" t="str">
        <f t="shared" si="7"/>
        <v/>
      </c>
    </row>
    <row r="40" spans="1:13" x14ac:dyDescent="0.3">
      <c r="A40" s="50">
        <v>25</v>
      </c>
      <c r="B40" s="55">
        <f t="shared" si="0"/>
        <v>10000</v>
      </c>
      <c r="C40" s="56">
        <f t="shared" si="1"/>
        <v>0</v>
      </c>
      <c r="D40" s="56">
        <f t="shared" si="2"/>
        <v>0</v>
      </c>
      <c r="E40" s="56">
        <f t="shared" si="3"/>
        <v>0</v>
      </c>
      <c r="F40" s="56">
        <f t="shared" si="8"/>
        <v>0</v>
      </c>
      <c r="G40" s="56">
        <f t="shared" si="9"/>
        <v>17984.03669968</v>
      </c>
      <c r="H40" s="56">
        <f t="shared" si="10"/>
        <v>0</v>
      </c>
      <c r="I40" s="56">
        <f t="shared" si="11"/>
        <v>11559.97709726826</v>
      </c>
      <c r="J40" s="56">
        <f t="shared" si="4"/>
        <v>29544.01379694826</v>
      </c>
      <c r="K40" s="56">
        <f t="shared" si="5"/>
        <v>3044.1152565444186</v>
      </c>
      <c r="L40" s="57">
        <f t="shared" si="6"/>
        <v>0</v>
      </c>
      <c r="M40" t="str">
        <f t="shared" si="7"/>
        <v/>
      </c>
    </row>
    <row r="41" spans="1:13" x14ac:dyDescent="0.3">
      <c r="A41" s="50">
        <v>26</v>
      </c>
      <c r="B41" s="55">
        <f t="shared" si="0"/>
        <v>10000</v>
      </c>
      <c r="C41" s="56">
        <f t="shared" si="1"/>
        <v>0</v>
      </c>
      <c r="D41" s="56">
        <f t="shared" si="2"/>
        <v>0</v>
      </c>
      <c r="E41" s="56">
        <f t="shared" si="3"/>
        <v>0</v>
      </c>
      <c r="F41" s="56">
        <f t="shared" si="8"/>
        <v>0</v>
      </c>
      <c r="G41" s="56">
        <f t="shared" si="9"/>
        <v>17984.03669968</v>
      </c>
      <c r="H41" s="56">
        <f t="shared" si="10"/>
        <v>0</v>
      </c>
      <c r="I41" s="56">
        <f t="shared" si="11"/>
        <v>11559.97709726826</v>
      </c>
      <c r="J41" s="56">
        <f t="shared" si="4"/>
        <v>29544.01379694826</v>
      </c>
      <c r="K41" s="56">
        <f t="shared" si="5"/>
        <v>3135.4387142407509</v>
      </c>
      <c r="L41" s="57">
        <f t="shared" si="6"/>
        <v>0</v>
      </c>
      <c r="M41" t="str">
        <f t="shared" si="7"/>
        <v/>
      </c>
    </row>
    <row r="42" spans="1:13" x14ac:dyDescent="0.3">
      <c r="A42" s="50">
        <v>27</v>
      </c>
      <c r="B42" s="55">
        <f t="shared" si="0"/>
        <v>10000</v>
      </c>
      <c r="C42" s="56">
        <f t="shared" si="1"/>
        <v>0</v>
      </c>
      <c r="D42" s="56">
        <f t="shared" si="2"/>
        <v>0</v>
      </c>
      <c r="E42" s="56">
        <f t="shared" si="3"/>
        <v>0</v>
      </c>
      <c r="F42" s="56">
        <f t="shared" si="8"/>
        <v>0</v>
      </c>
      <c r="G42" s="56">
        <f t="shared" si="9"/>
        <v>17984.03669968</v>
      </c>
      <c r="H42" s="56">
        <f t="shared" si="10"/>
        <v>0</v>
      </c>
      <c r="I42" s="56">
        <f t="shared" si="11"/>
        <v>11559.97709726826</v>
      </c>
      <c r="J42" s="56">
        <f t="shared" si="4"/>
        <v>29544.01379694826</v>
      </c>
      <c r="K42" s="56">
        <f t="shared" si="5"/>
        <v>3229.5018756679738</v>
      </c>
      <c r="L42" s="57">
        <f t="shared" si="6"/>
        <v>0</v>
      </c>
      <c r="M42" t="str">
        <f t="shared" si="7"/>
        <v/>
      </c>
    </row>
    <row r="43" spans="1:13" x14ac:dyDescent="0.3">
      <c r="A43" s="50">
        <v>28</v>
      </c>
      <c r="B43" s="55">
        <f t="shared" si="0"/>
        <v>10000</v>
      </c>
      <c r="C43" s="56">
        <f t="shared" si="1"/>
        <v>0</v>
      </c>
      <c r="D43" s="56">
        <f t="shared" si="2"/>
        <v>0</v>
      </c>
      <c r="E43" s="56">
        <f t="shared" si="3"/>
        <v>0</v>
      </c>
      <c r="F43" s="56">
        <f t="shared" si="8"/>
        <v>0</v>
      </c>
      <c r="G43" s="56">
        <f t="shared" si="9"/>
        <v>17984.03669968</v>
      </c>
      <c r="H43" s="56">
        <f t="shared" si="10"/>
        <v>0</v>
      </c>
      <c r="I43" s="56">
        <f t="shared" si="11"/>
        <v>11559.97709726826</v>
      </c>
      <c r="J43" s="56">
        <f t="shared" si="4"/>
        <v>29544.01379694826</v>
      </c>
      <c r="K43" s="56">
        <f t="shared" si="5"/>
        <v>3326.3869319380128</v>
      </c>
      <c r="L43" s="57">
        <f t="shared" si="6"/>
        <v>0</v>
      </c>
      <c r="M43" t="str">
        <f t="shared" si="7"/>
        <v/>
      </c>
    </row>
    <row r="44" spans="1:13" x14ac:dyDescent="0.3">
      <c r="A44" s="50">
        <v>29</v>
      </c>
      <c r="B44" s="55">
        <f t="shared" si="0"/>
        <v>10000</v>
      </c>
      <c r="C44" s="56">
        <f t="shared" si="1"/>
        <v>0</v>
      </c>
      <c r="D44" s="56">
        <f t="shared" si="2"/>
        <v>0</v>
      </c>
      <c r="E44" s="56">
        <f t="shared" si="3"/>
        <v>0</v>
      </c>
      <c r="F44" s="56">
        <f t="shared" si="8"/>
        <v>0</v>
      </c>
      <c r="G44" s="56">
        <f t="shared" si="9"/>
        <v>17984.03669968</v>
      </c>
      <c r="H44" s="56">
        <f t="shared" si="10"/>
        <v>0</v>
      </c>
      <c r="I44" s="56">
        <f t="shared" si="11"/>
        <v>11559.97709726826</v>
      </c>
      <c r="J44" s="56">
        <f t="shared" si="4"/>
        <v>29544.01379694826</v>
      </c>
      <c r="K44" s="56">
        <f t="shared" si="5"/>
        <v>3426.1785398961529</v>
      </c>
      <c r="L44" s="57">
        <f t="shared" si="6"/>
        <v>0</v>
      </c>
      <c r="M44" t="str">
        <f t="shared" si="7"/>
        <v/>
      </c>
    </row>
    <row r="45" spans="1:13" x14ac:dyDescent="0.3">
      <c r="A45" s="50">
        <v>30</v>
      </c>
      <c r="B45" s="55">
        <f t="shared" si="0"/>
        <v>10000</v>
      </c>
      <c r="C45" s="56">
        <f t="shared" si="1"/>
        <v>0</v>
      </c>
      <c r="D45" s="56">
        <f t="shared" si="2"/>
        <v>0</v>
      </c>
      <c r="E45" s="56">
        <f t="shared" si="3"/>
        <v>0</v>
      </c>
      <c r="F45" s="56">
        <f t="shared" si="8"/>
        <v>0</v>
      </c>
      <c r="G45" s="56">
        <f t="shared" si="9"/>
        <v>17984.03669968</v>
      </c>
      <c r="H45" s="56">
        <f t="shared" si="10"/>
        <v>0</v>
      </c>
      <c r="I45" s="56">
        <f t="shared" si="11"/>
        <v>11559.97709726826</v>
      </c>
      <c r="J45" s="56">
        <f t="shared" si="4"/>
        <v>29544.01379694826</v>
      </c>
      <c r="K45" s="56">
        <f t="shared" si="5"/>
        <v>3528.9638960930379</v>
      </c>
      <c r="L45" s="57">
        <f t="shared" si="6"/>
        <v>0</v>
      </c>
      <c r="M45" t="str">
        <f t="shared" si="7"/>
        <v/>
      </c>
    </row>
    <row r="46" spans="1:13" x14ac:dyDescent="0.3">
      <c r="A46" s="50">
        <v>31</v>
      </c>
      <c r="B46" s="55">
        <f t="shared" si="0"/>
        <v>10000</v>
      </c>
      <c r="C46" s="56">
        <f t="shared" si="1"/>
        <v>0</v>
      </c>
      <c r="D46" s="56">
        <f t="shared" si="2"/>
        <v>0</v>
      </c>
      <c r="E46" s="56">
        <f t="shared" si="3"/>
        <v>0</v>
      </c>
      <c r="F46" s="56">
        <f t="shared" si="8"/>
        <v>0</v>
      </c>
      <c r="G46" s="56">
        <f t="shared" ref="G46:G50" si="12">G45+F46</f>
        <v>17984.03669968</v>
      </c>
      <c r="H46" s="56">
        <f t="shared" si="10"/>
        <v>0</v>
      </c>
      <c r="I46" s="56">
        <f t="shared" ref="I46:I50" si="13">H46+I45</f>
        <v>11559.97709726826</v>
      </c>
      <c r="J46" s="56">
        <f t="shared" si="4"/>
        <v>29544.01379694826</v>
      </c>
      <c r="K46" s="56">
        <f t="shared" si="5"/>
        <v>3634.8328129758288</v>
      </c>
      <c r="L46" s="57">
        <f t="shared" si="6"/>
        <v>0</v>
      </c>
      <c r="M46" t="str">
        <f t="shared" si="7"/>
        <v/>
      </c>
    </row>
    <row r="47" spans="1:13" x14ac:dyDescent="0.3">
      <c r="A47" s="50">
        <v>32</v>
      </c>
      <c r="B47" s="55">
        <f t="shared" si="0"/>
        <v>10000</v>
      </c>
      <c r="C47" s="56">
        <f t="shared" si="1"/>
        <v>0</v>
      </c>
      <c r="D47" s="56">
        <f t="shared" si="2"/>
        <v>0</v>
      </c>
      <c r="E47" s="56">
        <f t="shared" si="3"/>
        <v>0</v>
      </c>
      <c r="F47" s="56">
        <f t="shared" si="8"/>
        <v>0</v>
      </c>
      <c r="G47" s="56">
        <f t="shared" si="12"/>
        <v>17984.03669968</v>
      </c>
      <c r="H47" s="56">
        <f t="shared" si="10"/>
        <v>0</v>
      </c>
      <c r="I47" s="56">
        <f t="shared" si="13"/>
        <v>11559.97709726826</v>
      </c>
      <c r="J47" s="56">
        <f t="shared" si="4"/>
        <v>29544.01379694826</v>
      </c>
      <c r="K47" s="56">
        <f t="shared" si="5"/>
        <v>3743.8777973651031</v>
      </c>
      <c r="L47" s="57">
        <f t="shared" si="6"/>
        <v>0</v>
      </c>
      <c r="M47" t="str">
        <f t="shared" si="7"/>
        <v/>
      </c>
    </row>
    <row r="48" spans="1:13" x14ac:dyDescent="0.3">
      <c r="A48" s="50">
        <v>33</v>
      </c>
      <c r="B48" s="55">
        <f t="shared" si="0"/>
        <v>10000</v>
      </c>
      <c r="C48" s="56">
        <f t="shared" si="1"/>
        <v>0</v>
      </c>
      <c r="D48" s="56">
        <f t="shared" si="2"/>
        <v>0</v>
      </c>
      <c r="E48" s="56">
        <f t="shared" si="3"/>
        <v>0</v>
      </c>
      <c r="F48" s="56">
        <f t="shared" si="8"/>
        <v>0</v>
      </c>
      <c r="G48" s="56">
        <f t="shared" si="12"/>
        <v>17984.03669968</v>
      </c>
      <c r="H48" s="56">
        <f t="shared" si="10"/>
        <v>0</v>
      </c>
      <c r="I48" s="56">
        <f t="shared" si="13"/>
        <v>11559.97709726826</v>
      </c>
      <c r="J48" s="56">
        <f t="shared" si="4"/>
        <v>29544.01379694826</v>
      </c>
      <c r="K48" s="56">
        <f t="shared" si="5"/>
        <v>3856.1941312860563</v>
      </c>
      <c r="L48" s="57">
        <f t="shared" si="6"/>
        <v>0</v>
      </c>
      <c r="M48" t="str">
        <f t="shared" si="7"/>
        <v/>
      </c>
    </row>
    <row r="49" spans="1:18" x14ac:dyDescent="0.3">
      <c r="A49" s="50">
        <v>34</v>
      </c>
      <c r="B49" s="55">
        <f t="shared" si="0"/>
        <v>10000</v>
      </c>
      <c r="C49" s="56">
        <f t="shared" si="1"/>
        <v>0</v>
      </c>
      <c r="D49" s="56">
        <f t="shared" si="2"/>
        <v>0</v>
      </c>
      <c r="E49" s="56">
        <f t="shared" si="3"/>
        <v>0</v>
      </c>
      <c r="F49" s="56">
        <f t="shared" si="8"/>
        <v>0</v>
      </c>
      <c r="G49" s="56">
        <f t="shared" si="12"/>
        <v>17984.03669968</v>
      </c>
      <c r="H49" s="56">
        <f t="shared" si="10"/>
        <v>0</v>
      </c>
      <c r="I49" s="56">
        <f t="shared" si="13"/>
        <v>11559.97709726826</v>
      </c>
      <c r="J49" s="56">
        <f t="shared" si="4"/>
        <v>29544.01379694826</v>
      </c>
      <c r="K49" s="56">
        <f t="shared" si="5"/>
        <v>3971.8799552246369</v>
      </c>
      <c r="L49" s="57">
        <f t="shared" si="6"/>
        <v>0</v>
      </c>
      <c r="M49" t="str">
        <f t="shared" si="7"/>
        <v/>
      </c>
    </row>
    <row r="50" spans="1:18" x14ac:dyDescent="0.3">
      <c r="A50" s="50">
        <v>35</v>
      </c>
      <c r="B50" s="55">
        <f t="shared" si="0"/>
        <v>10000</v>
      </c>
      <c r="C50" s="56">
        <f t="shared" si="1"/>
        <v>0</v>
      </c>
      <c r="D50" s="56">
        <f t="shared" si="2"/>
        <v>0</v>
      </c>
      <c r="E50" s="56">
        <f t="shared" si="3"/>
        <v>0</v>
      </c>
      <c r="F50" s="56">
        <f t="shared" si="8"/>
        <v>0</v>
      </c>
      <c r="G50" s="56">
        <f t="shared" si="12"/>
        <v>17984.03669968</v>
      </c>
      <c r="H50" s="56">
        <f t="shared" si="10"/>
        <v>0</v>
      </c>
      <c r="I50" s="56">
        <f t="shared" si="13"/>
        <v>11559.97709726826</v>
      </c>
      <c r="J50" s="56">
        <f t="shared" si="4"/>
        <v>29544.01379694826</v>
      </c>
      <c r="K50" s="56">
        <f t="shared" si="5"/>
        <v>4091.0363538813772</v>
      </c>
      <c r="L50" s="57">
        <f t="shared" si="6"/>
        <v>0</v>
      </c>
      <c r="M50" t="str">
        <f t="shared" si="7"/>
        <v/>
      </c>
    </row>
    <row r="51" spans="1:18" x14ac:dyDescent="0.3">
      <c r="A51" s="50">
        <v>36</v>
      </c>
      <c r="B51" s="55">
        <f t="shared" si="0"/>
        <v>10000</v>
      </c>
      <c r="C51" s="56">
        <f t="shared" si="1"/>
        <v>0</v>
      </c>
      <c r="D51" s="56">
        <f t="shared" si="2"/>
        <v>0</v>
      </c>
      <c r="E51" s="56">
        <f t="shared" si="3"/>
        <v>0</v>
      </c>
      <c r="F51" s="56">
        <f t="shared" si="8"/>
        <v>0</v>
      </c>
      <c r="G51" s="56">
        <f t="shared" ref="G51:G55" si="14">G50+F51</f>
        <v>17984.03669968</v>
      </c>
      <c r="H51" s="56">
        <f t="shared" si="10"/>
        <v>0</v>
      </c>
      <c r="I51" s="56">
        <f t="shared" ref="I51:I55" si="15">H51+I50</f>
        <v>11559.97709726826</v>
      </c>
      <c r="J51" s="56">
        <f t="shared" si="4"/>
        <v>29544.01379694826</v>
      </c>
      <c r="K51" s="56">
        <f t="shared" si="5"/>
        <v>4213.7674444978184</v>
      </c>
      <c r="L51" s="57">
        <f t="shared" si="6"/>
        <v>0</v>
      </c>
      <c r="M51" t="str">
        <f t="shared" si="7"/>
        <v/>
      </c>
    </row>
    <row r="52" spans="1:18" x14ac:dyDescent="0.3">
      <c r="A52" s="50">
        <v>37</v>
      </c>
      <c r="B52" s="55">
        <f t="shared" si="0"/>
        <v>10000</v>
      </c>
      <c r="C52" s="56">
        <f t="shared" si="1"/>
        <v>0</v>
      </c>
      <c r="D52" s="56">
        <f t="shared" si="2"/>
        <v>0</v>
      </c>
      <c r="E52" s="56">
        <f t="shared" si="3"/>
        <v>0</v>
      </c>
      <c r="F52" s="56">
        <f t="shared" si="8"/>
        <v>0</v>
      </c>
      <c r="G52" s="56">
        <f t="shared" si="14"/>
        <v>17984.03669968</v>
      </c>
      <c r="H52" s="56">
        <f t="shared" si="10"/>
        <v>0</v>
      </c>
      <c r="I52" s="56">
        <f t="shared" si="15"/>
        <v>11559.97709726826</v>
      </c>
      <c r="J52" s="56">
        <f t="shared" si="4"/>
        <v>29544.01379694826</v>
      </c>
      <c r="K52" s="56">
        <f t="shared" si="5"/>
        <v>4340.1804678327526</v>
      </c>
      <c r="L52" s="57">
        <f t="shared" si="6"/>
        <v>0</v>
      </c>
      <c r="M52" t="str">
        <f t="shared" si="7"/>
        <v/>
      </c>
    </row>
    <row r="53" spans="1:18" x14ac:dyDescent="0.3">
      <c r="A53" s="50">
        <v>38</v>
      </c>
      <c r="B53" s="55">
        <f t="shared" si="0"/>
        <v>10000</v>
      </c>
      <c r="C53" s="56">
        <f t="shared" si="1"/>
        <v>0</v>
      </c>
      <c r="D53" s="56">
        <f t="shared" si="2"/>
        <v>0</v>
      </c>
      <c r="E53" s="56">
        <f t="shared" si="3"/>
        <v>0</v>
      </c>
      <c r="F53" s="56">
        <f t="shared" si="8"/>
        <v>0</v>
      </c>
      <c r="G53" s="56">
        <f t="shared" si="14"/>
        <v>17984.03669968</v>
      </c>
      <c r="H53" s="56">
        <f t="shared" si="10"/>
        <v>0</v>
      </c>
      <c r="I53" s="56">
        <f t="shared" si="15"/>
        <v>11559.97709726826</v>
      </c>
      <c r="J53" s="56">
        <f t="shared" si="4"/>
        <v>29544.01379694826</v>
      </c>
      <c r="K53" s="56">
        <f t="shared" si="5"/>
        <v>4470.3858818677354</v>
      </c>
      <c r="L53" s="57">
        <f t="shared" si="6"/>
        <v>0</v>
      </c>
      <c r="M53" t="str">
        <f t="shared" si="7"/>
        <v/>
      </c>
    </row>
    <row r="54" spans="1:18" x14ac:dyDescent="0.3">
      <c r="A54" s="50">
        <v>39</v>
      </c>
      <c r="B54" s="55">
        <f t="shared" si="0"/>
        <v>10000</v>
      </c>
      <c r="C54" s="56">
        <f t="shared" si="1"/>
        <v>0</v>
      </c>
      <c r="D54" s="56">
        <f t="shared" si="2"/>
        <v>0</v>
      </c>
      <c r="E54" s="56">
        <f t="shared" si="3"/>
        <v>0</v>
      </c>
      <c r="F54" s="56">
        <f t="shared" si="8"/>
        <v>0</v>
      </c>
      <c r="G54" s="56">
        <f t="shared" si="14"/>
        <v>17984.03669968</v>
      </c>
      <c r="H54" s="56">
        <f t="shared" si="10"/>
        <v>0</v>
      </c>
      <c r="I54" s="56">
        <f t="shared" si="15"/>
        <v>11559.97709726826</v>
      </c>
      <c r="J54" s="56">
        <f t="shared" si="4"/>
        <v>29544.01379694826</v>
      </c>
      <c r="K54" s="56">
        <f t="shared" si="5"/>
        <v>4604.4974583237672</v>
      </c>
      <c r="L54" s="57">
        <f t="shared" si="6"/>
        <v>0</v>
      </c>
      <c r="M54" t="str">
        <f t="shared" si="7"/>
        <v/>
      </c>
    </row>
    <row r="55" spans="1:18" ht="15" thickBot="1" x14ac:dyDescent="0.35">
      <c r="A55" s="51">
        <v>40</v>
      </c>
      <c r="B55" s="58">
        <f t="shared" si="0"/>
        <v>10000</v>
      </c>
      <c r="C55" s="59">
        <f t="shared" si="1"/>
        <v>0</v>
      </c>
      <c r="D55" s="59">
        <f t="shared" si="2"/>
        <v>0</v>
      </c>
      <c r="E55" s="59">
        <f t="shared" si="3"/>
        <v>0</v>
      </c>
      <c r="F55" s="59">
        <f t="shared" si="8"/>
        <v>0</v>
      </c>
      <c r="G55" s="59">
        <f t="shared" si="14"/>
        <v>17984.03669968</v>
      </c>
      <c r="H55" s="59">
        <f t="shared" si="10"/>
        <v>0</v>
      </c>
      <c r="I55" s="59">
        <f t="shared" si="15"/>
        <v>11559.97709726826</v>
      </c>
      <c r="J55" s="59">
        <f t="shared" si="4"/>
        <v>29544.01379694826</v>
      </c>
      <c r="K55" s="59">
        <f t="shared" si="5"/>
        <v>4742.6323820734797</v>
      </c>
      <c r="L55" s="60">
        <f t="shared" si="6"/>
        <v>0</v>
      </c>
      <c r="M55" t="str">
        <f t="shared" si="7"/>
        <v/>
      </c>
    </row>
    <row r="56" spans="1:18" x14ac:dyDescent="0.3">
      <c r="B56" s="9"/>
      <c r="C56" s="9"/>
      <c r="D56" s="9"/>
      <c r="E56" s="9"/>
      <c r="F56" s="9"/>
      <c r="G56" s="9"/>
      <c r="H56" s="9"/>
      <c r="I56" s="9"/>
      <c r="J56" s="9"/>
      <c r="K56" s="9"/>
      <c r="M56">
        <f>SUM(M15:M55)</f>
        <v>6</v>
      </c>
    </row>
    <row r="57" spans="1:18" x14ac:dyDescent="0.3">
      <c r="B57" s="9"/>
      <c r="D57" s="9"/>
      <c r="E57" s="9"/>
      <c r="F57" s="9"/>
      <c r="G57" s="9"/>
      <c r="H57" s="9"/>
      <c r="I57" s="9"/>
      <c r="J57" s="9"/>
      <c r="K57" s="9"/>
    </row>
    <row r="58" spans="1:18" x14ac:dyDescent="0.3">
      <c r="A58" s="84" t="s">
        <v>233</v>
      </c>
      <c r="B58" s="83"/>
      <c r="C58" s="9"/>
      <c r="D58" s="13"/>
      <c r="E58" s="9"/>
      <c r="F58" s="9"/>
      <c r="G58" s="9"/>
      <c r="H58" s="9"/>
      <c r="I58" s="9"/>
      <c r="J58" s="9"/>
      <c r="K58" s="9"/>
    </row>
    <row r="59" spans="1:18" ht="15" thickBot="1" x14ac:dyDescent="0.35">
      <c r="A59" s="9"/>
      <c r="B59" s="9"/>
      <c r="C59" s="9"/>
      <c r="D59" s="13"/>
      <c r="E59" s="9"/>
      <c r="F59" s="9"/>
      <c r="G59" s="9"/>
      <c r="H59" s="9"/>
      <c r="I59" s="9"/>
      <c r="J59" s="9"/>
      <c r="K59" s="9"/>
    </row>
    <row r="60" spans="1:18" ht="15" thickBot="1" x14ac:dyDescent="0.35">
      <c r="B60" s="369" t="s">
        <v>431</v>
      </c>
      <c r="C60" s="370"/>
      <c r="D60" s="371"/>
      <c r="E60" s="369" t="s">
        <v>432</v>
      </c>
      <c r="F60" s="370"/>
      <c r="G60" s="370"/>
      <c r="H60" s="370"/>
      <c r="I60" s="371"/>
      <c r="J60" s="290"/>
      <c r="K60" s="9"/>
    </row>
    <row r="61" spans="1:18" ht="58.2" thickBot="1" x14ac:dyDescent="0.35">
      <c r="A61" s="25" t="s">
        <v>229</v>
      </c>
      <c r="B61" s="25" t="s">
        <v>230</v>
      </c>
      <c r="C61" s="25" t="s">
        <v>234</v>
      </c>
      <c r="D61" s="25" t="s">
        <v>237</v>
      </c>
      <c r="E61" s="330" t="s">
        <v>232</v>
      </c>
      <c r="F61" s="25" t="s">
        <v>236</v>
      </c>
      <c r="G61" s="25" t="s">
        <v>239</v>
      </c>
      <c r="H61" s="25" t="s">
        <v>238</v>
      </c>
      <c r="I61" s="25" t="s">
        <v>420</v>
      </c>
      <c r="J61" s="25" t="s">
        <v>240</v>
      </c>
      <c r="O61" t="s">
        <v>241</v>
      </c>
      <c r="P61" s="25" t="s">
        <v>255</v>
      </c>
      <c r="Q61" s="7" t="s">
        <v>231</v>
      </c>
    </row>
    <row r="62" spans="1:18" x14ac:dyDescent="0.3">
      <c r="A62" s="50">
        <v>1</v>
      </c>
      <c r="B62" s="52">
        <f>($E$5*(100%+E6))</f>
        <v>30.838200000000001</v>
      </c>
      <c r="C62" s="53">
        <f>(B62*'1_Cockpit'!$C$73)/100</f>
        <v>1497.5029920000002</v>
      </c>
      <c r="D62" s="53">
        <f>C62</f>
        <v>1497.5029920000002</v>
      </c>
      <c r="E62" s="53">
        <f>((D16+E16+H16)/(('5_Ertrag'!$I$108))*100)</f>
        <v>38.984547899301489</v>
      </c>
      <c r="F62" s="53">
        <f>J16</f>
        <v>18175</v>
      </c>
      <c r="G62" s="53">
        <f>K16</f>
        <v>271.3964298957759</v>
      </c>
      <c r="H62" s="53">
        <f>L16</f>
        <v>0</v>
      </c>
      <c r="I62" s="53">
        <f>F62+G62+H62</f>
        <v>18446.396429895776</v>
      </c>
      <c r="J62" s="54">
        <f>D62-I62</f>
        <v>-16948.893437895775</v>
      </c>
      <c r="K62" s="9"/>
      <c r="O62">
        <v>1</v>
      </c>
      <c r="P62">
        <f>IF(A62&lt;=$E$9,B62,0)</f>
        <v>30.838200000000001</v>
      </c>
      <c r="Q62" s="5">
        <f t="shared" ref="Q62:Q101" si="16">E62-B62</f>
        <v>8.1463478993014888</v>
      </c>
      <c r="R62" s="9" t="e">
        <f>K62/L62</f>
        <v>#DIV/0!</v>
      </c>
    </row>
    <row r="63" spans="1:18" x14ac:dyDescent="0.3">
      <c r="A63" s="50">
        <v>2</v>
      </c>
      <c r="B63" s="55">
        <f t="shared" ref="B63:B101" si="17">B62*(100%+$E$6)</f>
        <v>31.763346000000002</v>
      </c>
      <c r="C63" s="56">
        <f>(B63*'1_Cockpit'!$C$73)/100</f>
        <v>1542.4280817600002</v>
      </c>
      <c r="D63" s="56">
        <f>C63+D62</f>
        <v>3039.9310737600003</v>
      </c>
      <c r="E63" s="56">
        <f>((D17+E17+H17)/(('5_Ertrag'!$I$108))*100)</f>
        <v>38.437506662650001</v>
      </c>
      <c r="F63" s="56">
        <f t="shared" ref="F63:F101" si="18">J17</f>
        <v>18828.25</v>
      </c>
      <c r="G63" s="56">
        <f t="shared" ref="G63:G101" si="19">K17+G62</f>
        <v>550.93475268842508</v>
      </c>
      <c r="H63" s="56">
        <f t="shared" ref="H63:H101" si="20">L17+H62</f>
        <v>0</v>
      </c>
      <c r="I63" s="56">
        <f t="shared" ref="I63:I91" si="21">F63+G63+H63</f>
        <v>19379.184752688427</v>
      </c>
      <c r="J63" s="57">
        <f t="shared" ref="J63:J101" si="22">D63-I63</f>
        <v>-16339.253678928426</v>
      </c>
      <c r="K63" s="9"/>
      <c r="M63">
        <f>IF(J62&lt;0,IF(J63&gt;0,A63,0),0)</f>
        <v>0</v>
      </c>
      <c r="O63">
        <v>2</v>
      </c>
      <c r="P63">
        <f t="shared" ref="P63:P101" si="23">IF(A63&lt;=$E$9,B63,0)</f>
        <v>31.763346000000002</v>
      </c>
      <c r="Q63" s="5">
        <f t="shared" si="16"/>
        <v>6.6741606626499994</v>
      </c>
      <c r="R63" s="9" t="e">
        <f t="shared" ref="R63:R101" si="24">K63/L63</f>
        <v>#DIV/0!</v>
      </c>
    </row>
    <row r="64" spans="1:18" x14ac:dyDescent="0.3">
      <c r="A64" s="50">
        <v>3</v>
      </c>
      <c r="B64" s="55">
        <f t="shared" si="17"/>
        <v>32.716246380000001</v>
      </c>
      <c r="C64" s="56">
        <f>(B64*'1_Cockpit'!$C$73)/100</f>
        <v>1588.7009242128001</v>
      </c>
      <c r="D64" s="56">
        <f t="shared" ref="D64:D91" si="25">C64+D63</f>
        <v>4628.6319979728005</v>
      </c>
      <c r="E64" s="56">
        <f>((D18+E18+H18)/(('5_Ertrag'!$I$108))*100)</f>
        <v>37.878204156901148</v>
      </c>
      <c r="F64" s="56">
        <f t="shared" si="18"/>
        <v>19459.262500000001</v>
      </c>
      <c r="G64" s="56">
        <f t="shared" si="19"/>
        <v>838.8592251648538</v>
      </c>
      <c r="H64" s="56">
        <f t="shared" si="20"/>
        <v>0</v>
      </c>
      <c r="I64" s="56">
        <f t="shared" si="21"/>
        <v>20298.121725164856</v>
      </c>
      <c r="J64" s="57">
        <f t="shared" si="22"/>
        <v>-15669.489727192056</v>
      </c>
      <c r="K64" s="9"/>
      <c r="M64">
        <f t="shared" ref="M64:M101" si="26">IF(J63&lt;0,IF(J64&gt;0,A64,0),0)</f>
        <v>0</v>
      </c>
      <c r="O64">
        <v>3</v>
      </c>
      <c r="P64">
        <f t="shared" si="23"/>
        <v>32.716246380000001</v>
      </c>
      <c r="Q64" s="5">
        <f t="shared" si="16"/>
        <v>5.1619577769011471</v>
      </c>
      <c r="R64" s="9" t="e">
        <f t="shared" si="24"/>
        <v>#DIV/0!</v>
      </c>
    </row>
    <row r="65" spans="1:18" x14ac:dyDescent="0.3">
      <c r="A65" s="50">
        <v>4</v>
      </c>
      <c r="B65" s="55">
        <f t="shared" si="17"/>
        <v>33.697733771400003</v>
      </c>
      <c r="C65" s="56">
        <f>(B65*'1_Cockpit'!$C$73)/100</f>
        <v>1636.3619519391841</v>
      </c>
      <c r="D65" s="56">
        <f t="shared" si="25"/>
        <v>6264.9939499119846</v>
      </c>
      <c r="E65" s="56">
        <f>((D19+E19+H19)/(('5_Ertrag'!$I$108))*100)</f>
        <v>37.306381952229351</v>
      </c>
      <c r="F65" s="56">
        <f t="shared" si="18"/>
        <v>20067.539724999999</v>
      </c>
      <c r="G65" s="56">
        <f t="shared" si="19"/>
        <v>1135.4214318155753</v>
      </c>
      <c r="H65" s="56">
        <f t="shared" si="20"/>
        <v>0</v>
      </c>
      <c r="I65" s="56">
        <f t="shared" si="21"/>
        <v>21202.961156815574</v>
      </c>
      <c r="J65" s="57">
        <f t="shared" si="22"/>
        <v>-14937.96720690359</v>
      </c>
      <c r="K65" s="9"/>
      <c r="M65">
        <f t="shared" si="26"/>
        <v>0</v>
      </c>
      <c r="O65">
        <v>4</v>
      </c>
      <c r="P65">
        <f t="shared" si="23"/>
        <v>33.697733771400003</v>
      </c>
      <c r="Q65" s="5">
        <f t="shared" si="16"/>
        <v>3.6086481808293485</v>
      </c>
      <c r="R65" s="9" t="e">
        <f t="shared" si="24"/>
        <v>#DIV/0!</v>
      </c>
    </row>
    <row r="66" spans="1:18" x14ac:dyDescent="0.3">
      <c r="A66" s="50">
        <v>5</v>
      </c>
      <c r="B66" s="55">
        <f t="shared" si="17"/>
        <v>34.708665784542006</v>
      </c>
      <c r="C66" s="56">
        <f>(B66*'1_Cockpit'!$C$73)/100</f>
        <v>1685.4528104973599</v>
      </c>
      <c r="D66" s="56">
        <f t="shared" si="25"/>
        <v>7950.4467604093443</v>
      </c>
      <c r="E66" s="56">
        <f>((D20+E20+H20)/(('5_Ertrag'!$I$108))*100)</f>
        <v>36.721776318168061</v>
      </c>
      <c r="F66" s="56">
        <f t="shared" si="18"/>
        <v>20652.57341425</v>
      </c>
      <c r="G66" s="56">
        <f t="shared" si="19"/>
        <v>1440.8805046658185</v>
      </c>
      <c r="H66" s="56">
        <f t="shared" si="20"/>
        <v>0</v>
      </c>
      <c r="I66" s="56">
        <f t="shared" si="21"/>
        <v>22093.45391891582</v>
      </c>
      <c r="J66" s="57">
        <f t="shared" si="22"/>
        <v>-14143.007158506476</v>
      </c>
      <c r="K66" s="9"/>
      <c r="M66">
        <f t="shared" si="26"/>
        <v>0</v>
      </c>
      <c r="O66">
        <v>5</v>
      </c>
      <c r="P66">
        <f t="shared" si="23"/>
        <v>34.708665784542006</v>
      </c>
      <c r="Q66" s="5">
        <f t="shared" si="16"/>
        <v>2.0131105336260546</v>
      </c>
      <c r="R66" s="9" t="e">
        <f t="shared" si="24"/>
        <v>#DIV/0!</v>
      </c>
    </row>
    <row r="67" spans="1:18" x14ac:dyDescent="0.3">
      <c r="A67" s="50">
        <v>6</v>
      </c>
      <c r="B67" s="55">
        <f t="shared" si="17"/>
        <v>35.74992575807827</v>
      </c>
      <c r="C67" s="56">
        <f>(B67*'1_Cockpit'!$C$73)/100</f>
        <v>1736.0163948122809</v>
      </c>
      <c r="D67" s="56">
        <f t="shared" si="25"/>
        <v>9686.4631552216251</v>
      </c>
      <c r="E67" s="56">
        <f>((D21+E21+H21)/(('5_Ertrag'!$I$108))*100)</f>
        <v>36.124118116276527</v>
      </c>
      <c r="F67" s="56">
        <f t="shared" si="18"/>
        <v>21213.844606232502</v>
      </c>
      <c r="G67" s="56">
        <f t="shared" si="19"/>
        <v>1755.5033497015688</v>
      </c>
      <c r="H67" s="56">
        <f t="shared" si="20"/>
        <v>0</v>
      </c>
      <c r="I67" s="56">
        <f t="shared" si="21"/>
        <v>22969.34795593407</v>
      </c>
      <c r="J67" s="57">
        <f t="shared" si="22"/>
        <v>-13282.884800712445</v>
      </c>
      <c r="K67" s="9"/>
      <c r="M67">
        <f t="shared" si="26"/>
        <v>0</v>
      </c>
      <c r="O67">
        <v>6</v>
      </c>
      <c r="P67">
        <f t="shared" si="23"/>
        <v>35.74992575807827</v>
      </c>
      <c r="Q67" s="5">
        <f t="shared" si="16"/>
        <v>0.37419235819825758</v>
      </c>
      <c r="R67" s="9" t="e">
        <f t="shared" si="24"/>
        <v>#DIV/0!</v>
      </c>
    </row>
    <row r="68" spans="1:18" x14ac:dyDescent="0.3">
      <c r="A68" s="50">
        <v>7</v>
      </c>
      <c r="B68" s="55">
        <f t="shared" si="17"/>
        <v>36.822423530820622</v>
      </c>
      <c r="C68" s="56">
        <f>(B68*'1_Cockpit'!$C$73)/100</f>
        <v>1788.0968866566493</v>
      </c>
      <c r="D68" s="56">
        <f t="shared" si="25"/>
        <v>11474.560041878274</v>
      </c>
      <c r="E68" s="56">
        <f>((D22+E22+H22)/(('5_Ertrag'!$I$108))*100)</f>
        <v>36.024189077037086</v>
      </c>
      <c r="F68" s="56">
        <f t="shared" si="18"/>
        <v>21771.142685298026</v>
      </c>
      <c r="G68" s="56">
        <f t="shared" si="19"/>
        <v>2079.5648800883919</v>
      </c>
      <c r="H68" s="56">
        <f t="shared" si="20"/>
        <v>0</v>
      </c>
      <c r="I68" s="56">
        <f t="shared" si="21"/>
        <v>23850.707565386416</v>
      </c>
      <c r="J68" s="57">
        <f t="shared" si="22"/>
        <v>-12376.147523508142</v>
      </c>
      <c r="K68" s="9"/>
      <c r="M68">
        <f t="shared" si="26"/>
        <v>0</v>
      </c>
      <c r="O68">
        <v>7</v>
      </c>
      <c r="P68">
        <f t="shared" si="23"/>
        <v>36.822423530820622</v>
      </c>
      <c r="Q68" s="5">
        <f t="shared" si="16"/>
        <v>-0.79823445378353597</v>
      </c>
      <c r="R68" s="9" t="e">
        <f t="shared" si="24"/>
        <v>#DIV/0!</v>
      </c>
    </row>
    <row r="69" spans="1:18" x14ac:dyDescent="0.3">
      <c r="A69" s="50">
        <v>8</v>
      </c>
      <c r="B69" s="55">
        <f t="shared" si="17"/>
        <v>37.927096236745243</v>
      </c>
      <c r="C69" s="56">
        <f>(B69*'1_Cockpit'!$C$73)/100</f>
        <v>1841.739793256349</v>
      </c>
      <c r="D69" s="56">
        <f t="shared" si="25"/>
        <v>13316.299835134623</v>
      </c>
      <c r="E69" s="56">
        <f>((D23+E23+H23)/(('5_Ertrag'!$I$108))*100)</f>
        <v>36.164356907085583</v>
      </c>
      <c r="F69" s="56">
        <f t="shared" si="18"/>
        <v>22334.013745154207</v>
      </c>
      <c r="G69" s="56">
        <f t="shared" si="19"/>
        <v>2413.3482563868192</v>
      </c>
      <c r="H69" s="56">
        <f t="shared" si="20"/>
        <v>0</v>
      </c>
      <c r="I69" s="56">
        <f t="shared" si="21"/>
        <v>24747.362001541027</v>
      </c>
      <c r="J69" s="57">
        <f t="shared" si="22"/>
        <v>-11431.062166406404</v>
      </c>
      <c r="K69" s="9"/>
      <c r="M69">
        <f t="shared" si="26"/>
        <v>0</v>
      </c>
      <c r="O69">
        <v>8</v>
      </c>
      <c r="P69">
        <f t="shared" si="23"/>
        <v>37.927096236745243</v>
      </c>
      <c r="Q69" s="5">
        <f t="shared" si="16"/>
        <v>-1.7627393296596594</v>
      </c>
      <c r="R69" s="9" t="e">
        <f t="shared" si="24"/>
        <v>#DIV/0!</v>
      </c>
    </row>
    <row r="70" spans="1:18" x14ac:dyDescent="0.3">
      <c r="A70" s="50">
        <v>9</v>
      </c>
      <c r="B70" s="55">
        <f t="shared" si="17"/>
        <v>39.064909123847599</v>
      </c>
      <c r="C70" s="56">
        <f>(B70*'1_Cockpit'!$C$73)/100</f>
        <v>1896.9919870540396</v>
      </c>
      <c r="D70" s="56">
        <f t="shared" si="25"/>
        <v>15213.291822188663</v>
      </c>
      <c r="E70" s="56">
        <f>((D24+E24+H24)/(('5_Ertrag'!$I$108))*100)</f>
        <v>36.305926415434584</v>
      </c>
      <c r="F70" s="56">
        <f t="shared" si="18"/>
        <v>22902.513515608949</v>
      </c>
      <c r="G70" s="56">
        <f t="shared" si="19"/>
        <v>2757.1451339741998</v>
      </c>
      <c r="H70" s="56">
        <f t="shared" si="20"/>
        <v>0</v>
      </c>
      <c r="I70" s="56">
        <f t="shared" si="21"/>
        <v>25659.658649583151</v>
      </c>
      <c r="J70" s="57">
        <f t="shared" si="22"/>
        <v>-10446.366827394488</v>
      </c>
      <c r="K70" s="9"/>
      <c r="M70">
        <f t="shared" si="26"/>
        <v>0</v>
      </c>
      <c r="O70">
        <v>9</v>
      </c>
      <c r="P70">
        <f t="shared" si="23"/>
        <v>39.064909123847599</v>
      </c>
      <c r="Q70" s="5">
        <f t="shared" si="16"/>
        <v>-2.758982708413015</v>
      </c>
      <c r="R70" s="9" t="e">
        <f t="shared" si="24"/>
        <v>#DIV/0!</v>
      </c>
    </row>
    <row r="71" spans="1:18" x14ac:dyDescent="0.3">
      <c r="A71" s="50">
        <v>10</v>
      </c>
      <c r="B71" s="55">
        <f t="shared" si="17"/>
        <v>40.236856397563031</v>
      </c>
      <c r="C71" s="56">
        <f>(B71*'1_Cockpit'!$C$73)/100</f>
        <v>1953.9017466656608</v>
      </c>
      <c r="D71" s="56">
        <f t="shared" si="25"/>
        <v>17167.193568854324</v>
      </c>
      <c r="E71" s="56">
        <f>((D25+E25+H25)/(('5_Ertrag'!$I$108))*100)</f>
        <v>36.448911618867058</v>
      </c>
      <c r="F71" s="56">
        <f t="shared" si="18"/>
        <v>23476.698283768237</v>
      </c>
      <c r="G71" s="56">
        <f t="shared" si="19"/>
        <v>3111.2559178892016</v>
      </c>
      <c r="H71" s="56">
        <f t="shared" si="20"/>
        <v>0</v>
      </c>
      <c r="I71" s="56">
        <f t="shared" si="21"/>
        <v>26587.954201657438</v>
      </c>
      <c r="J71" s="57">
        <f t="shared" si="22"/>
        <v>-9420.7606328031143</v>
      </c>
      <c r="K71" s="9"/>
      <c r="M71">
        <f t="shared" si="26"/>
        <v>0</v>
      </c>
      <c r="O71">
        <v>10</v>
      </c>
      <c r="P71">
        <f t="shared" si="23"/>
        <v>40.236856397563031</v>
      </c>
      <c r="Q71" s="5">
        <f t="shared" si="16"/>
        <v>-3.787944778695973</v>
      </c>
      <c r="R71" s="9" t="e">
        <f t="shared" si="24"/>
        <v>#DIV/0!</v>
      </c>
    </row>
    <row r="72" spans="1:18" x14ac:dyDescent="0.3">
      <c r="A72" s="50">
        <v>11</v>
      </c>
      <c r="B72" s="55">
        <f t="shared" si="17"/>
        <v>41.443962089489922</v>
      </c>
      <c r="C72" s="56">
        <f>(B72*'1_Cockpit'!$C$73)/100</f>
        <v>2012.5187990656307</v>
      </c>
      <c r="D72" s="56">
        <f t="shared" si="25"/>
        <v>19179.712367919954</v>
      </c>
      <c r="E72" s="56">
        <f>((D26+E26+H26)/(('5_Ertrag'!$I$108))*100)</f>
        <v>36.593326674333866</v>
      </c>
      <c r="F72" s="56">
        <f t="shared" si="18"/>
        <v>24056.62489960912</v>
      </c>
      <c r="G72" s="56">
        <f t="shared" si="19"/>
        <v>3475.9900253216533</v>
      </c>
      <c r="H72" s="56">
        <f t="shared" si="20"/>
        <v>0</v>
      </c>
      <c r="I72" s="56">
        <f t="shared" si="21"/>
        <v>27532.614924930775</v>
      </c>
      <c r="J72" s="57">
        <f t="shared" si="22"/>
        <v>-8352.9025570108206</v>
      </c>
      <c r="K72" s="9"/>
      <c r="M72">
        <f t="shared" si="26"/>
        <v>0</v>
      </c>
      <c r="O72">
        <v>11</v>
      </c>
      <c r="P72">
        <f t="shared" si="23"/>
        <v>41.443962089489922</v>
      </c>
      <c r="Q72" s="5">
        <f t="shared" si="16"/>
        <v>-4.8506354151560558</v>
      </c>
      <c r="R72" s="9" t="e">
        <f t="shared" si="24"/>
        <v>#DIV/0!</v>
      </c>
    </row>
    <row r="73" spans="1:18" x14ac:dyDescent="0.3">
      <c r="A73" s="50">
        <v>12</v>
      </c>
      <c r="B73" s="55">
        <f t="shared" si="17"/>
        <v>42.687280952174618</v>
      </c>
      <c r="C73" s="56">
        <f>(B73*'1_Cockpit'!$C$73)/100</f>
        <v>2072.8943630375998</v>
      </c>
      <c r="D73" s="56">
        <f t="shared" si="25"/>
        <v>21252.606730957552</v>
      </c>
      <c r="E73" s="56">
        <f>((D27+E27+H27)/(('5_Ertrag'!$I$108))*100)</f>
        <v>36.739185880355343</v>
      </c>
      <c r="F73" s="56">
        <f t="shared" si="18"/>
        <v>24642.350781608413</v>
      </c>
      <c r="G73" s="56">
        <f t="shared" si="19"/>
        <v>3851.6661559770787</v>
      </c>
      <c r="H73" s="56">
        <f t="shared" si="20"/>
        <v>0</v>
      </c>
      <c r="I73" s="56">
        <f t="shared" si="21"/>
        <v>28494.016937585493</v>
      </c>
      <c r="J73" s="57">
        <f t="shared" si="22"/>
        <v>-7241.4102066279411</v>
      </c>
      <c r="K73" s="9"/>
      <c r="M73">
        <f t="shared" si="26"/>
        <v>0</v>
      </c>
      <c r="O73">
        <v>12</v>
      </c>
      <c r="P73">
        <f t="shared" si="23"/>
        <v>42.687280952174618</v>
      </c>
      <c r="Q73" s="5">
        <f t="shared" si="16"/>
        <v>-5.9480950718192744</v>
      </c>
      <c r="R73" s="9" t="e">
        <f t="shared" si="24"/>
        <v>#DIV/0!</v>
      </c>
    </row>
    <row r="74" spans="1:18" x14ac:dyDescent="0.3">
      <c r="A74" s="50">
        <v>13</v>
      </c>
      <c r="B74" s="55">
        <f t="shared" si="17"/>
        <v>43.967899380739858</v>
      </c>
      <c r="C74" s="56">
        <f>(B74*'1_Cockpit'!$C$73)/100</f>
        <v>2135.0811939287278</v>
      </c>
      <c r="D74" s="56">
        <f t="shared" si="25"/>
        <v>23387.687924886279</v>
      </c>
      <c r="E74" s="56">
        <f>((D28+E28+H28)/(('5_Ertrag'!$I$108))*100)</f>
        <v>36.88650367843703</v>
      </c>
      <c r="F74" s="56">
        <f t="shared" si="18"/>
        <v>25233.933922427696</v>
      </c>
      <c r="G74" s="56">
        <f t="shared" si="19"/>
        <v>4238.6125705521672</v>
      </c>
      <c r="H74" s="56">
        <f t="shared" si="20"/>
        <v>0</v>
      </c>
      <c r="I74" s="56">
        <f t="shared" si="21"/>
        <v>29472.546492979862</v>
      </c>
      <c r="J74" s="57">
        <f t="shared" si="22"/>
        <v>-6084.858568093583</v>
      </c>
      <c r="K74" s="9"/>
      <c r="M74">
        <f t="shared" si="26"/>
        <v>0</v>
      </c>
      <c r="O74">
        <v>13</v>
      </c>
      <c r="P74">
        <f t="shared" si="23"/>
        <v>43.967899380739858</v>
      </c>
      <c r="Q74" s="5">
        <f t="shared" si="16"/>
        <v>-7.081395702302828</v>
      </c>
      <c r="R74" s="9" t="e">
        <f t="shared" si="24"/>
        <v>#DIV/0!</v>
      </c>
    </row>
    <row r="75" spans="1:18" x14ac:dyDescent="0.3">
      <c r="A75" s="50">
        <v>14</v>
      </c>
      <c r="B75" s="55">
        <f t="shared" si="17"/>
        <v>45.286936362162052</v>
      </c>
      <c r="C75" s="56">
        <f>(B75*'1_Cockpit'!$C$73)/100</f>
        <v>2199.1336297465891</v>
      </c>
      <c r="D75" s="56">
        <f t="shared" si="25"/>
        <v>25586.821554632868</v>
      </c>
      <c r="E75" s="56">
        <f>((D29+E29+H29)/(('5_Ertrag'!$I$108))*100)</f>
        <v>37.035294654499538</v>
      </c>
      <c r="F75" s="56">
        <f t="shared" si="18"/>
        <v>25831.432894655172</v>
      </c>
      <c r="G75" s="56">
        <f t="shared" si="19"/>
        <v>4637.1673775645077</v>
      </c>
      <c r="H75" s="56">
        <f t="shared" si="20"/>
        <v>0</v>
      </c>
      <c r="I75" s="56">
        <f t="shared" si="21"/>
        <v>30468.600272219679</v>
      </c>
      <c r="J75" s="57">
        <f t="shared" si="22"/>
        <v>-4881.7787175868107</v>
      </c>
      <c r="K75" s="9"/>
      <c r="M75">
        <f t="shared" si="26"/>
        <v>0</v>
      </c>
      <c r="O75">
        <v>14</v>
      </c>
      <c r="P75">
        <f t="shared" si="23"/>
        <v>45.286936362162052</v>
      </c>
      <c r="Q75" s="5">
        <f t="shared" si="16"/>
        <v>-8.2516417076625146</v>
      </c>
      <c r="R75" s="9" t="e">
        <f t="shared" si="24"/>
        <v>#DIV/0!</v>
      </c>
    </row>
    <row r="76" spans="1:18" x14ac:dyDescent="0.3">
      <c r="A76" s="50">
        <v>15</v>
      </c>
      <c r="B76" s="55">
        <f t="shared" si="17"/>
        <v>46.645544453026915</v>
      </c>
      <c r="C76" s="56">
        <f>(B76*'1_Cockpit'!$C$73)/100</f>
        <v>2265.1076386389868</v>
      </c>
      <c r="D76" s="56">
        <f t="shared" si="25"/>
        <v>27851.929193271855</v>
      </c>
      <c r="E76" s="56">
        <f>((D30+E30+H30)/(('5_Ertrag'!$I$108))*100)</f>
        <v>37.185573540322672</v>
      </c>
      <c r="F76" s="56">
        <f t="shared" si="18"/>
        <v>26434.906856604925</v>
      </c>
      <c r="G76" s="56">
        <f t="shared" si="19"/>
        <v>5047.6788287872187</v>
      </c>
      <c r="H76" s="56">
        <f t="shared" si="20"/>
        <v>0</v>
      </c>
      <c r="I76" s="56">
        <f t="shared" si="21"/>
        <v>31482.585685392143</v>
      </c>
      <c r="J76" s="57">
        <f t="shared" si="22"/>
        <v>-3630.656492120288</v>
      </c>
      <c r="K76" s="9"/>
      <c r="M76">
        <f t="shared" si="26"/>
        <v>0</v>
      </c>
      <c r="O76">
        <v>15</v>
      </c>
      <c r="P76">
        <f t="shared" si="23"/>
        <v>46.645544453026915</v>
      </c>
      <c r="Q76" s="5">
        <f t="shared" si="16"/>
        <v>-9.4599709127042431</v>
      </c>
      <c r="R76" s="9" t="e">
        <f t="shared" si="24"/>
        <v>#DIV/0!</v>
      </c>
    </row>
    <row r="77" spans="1:18" x14ac:dyDescent="0.3">
      <c r="A77" s="50">
        <v>16</v>
      </c>
      <c r="B77" s="55">
        <f t="shared" si="17"/>
        <v>48.04491078661772</v>
      </c>
      <c r="C77" s="56">
        <f>(B77*'1_Cockpit'!$C$73)/100</f>
        <v>2333.0608677981563</v>
      </c>
      <c r="D77" s="56">
        <f t="shared" si="25"/>
        <v>30184.990061070013</v>
      </c>
      <c r="E77" s="56">
        <f>((D31+E31+H31)/(('5_Ertrag'!$I$108))*100)</f>
        <v>37.337355215004038</v>
      </c>
      <c r="F77" s="56">
        <f t="shared" si="18"/>
        <v>27044.415558174172</v>
      </c>
      <c r="G77" s="56">
        <f t="shared" si="19"/>
        <v>5470.5056235466109</v>
      </c>
      <c r="H77" s="56">
        <f t="shared" si="20"/>
        <v>0</v>
      </c>
      <c r="I77" s="56">
        <f t="shared" si="21"/>
        <v>32514.921181720783</v>
      </c>
      <c r="J77" s="57">
        <f t="shared" si="22"/>
        <v>-2329.93112065077</v>
      </c>
      <c r="K77" s="9"/>
      <c r="M77">
        <f t="shared" si="26"/>
        <v>0</v>
      </c>
      <c r="O77">
        <v>16</v>
      </c>
      <c r="P77">
        <f t="shared" si="23"/>
        <v>48.04491078661772</v>
      </c>
      <c r="Q77" s="5">
        <f t="shared" si="16"/>
        <v>-10.707555571613682</v>
      </c>
      <c r="R77" s="9" t="e">
        <f t="shared" si="24"/>
        <v>#DIV/0!</v>
      </c>
    </row>
    <row r="78" spans="1:18" x14ac:dyDescent="0.3">
      <c r="A78" s="50">
        <v>17</v>
      </c>
      <c r="B78" s="55">
        <f t="shared" si="17"/>
        <v>49.486258110216255</v>
      </c>
      <c r="C78" s="56">
        <f>(B78*'1_Cockpit'!$C$73)/100</f>
        <v>2403.0526938321013</v>
      </c>
      <c r="D78" s="56">
        <f t="shared" si="25"/>
        <v>32588.042754902115</v>
      </c>
      <c r="E78" s="56">
        <f>((D32+E32+H32)/(('5_Ertrag'!$I$108))*100)</f>
        <v>37.490654706432217</v>
      </c>
      <c r="F78" s="56">
        <f t="shared" si="18"/>
        <v>27660.019346759116</v>
      </c>
      <c r="G78" s="56">
        <f t="shared" si="19"/>
        <v>5906.0172221487846</v>
      </c>
      <c r="H78" s="56">
        <f t="shared" si="20"/>
        <v>0</v>
      </c>
      <c r="I78" s="56">
        <f t="shared" si="21"/>
        <v>33566.036568907904</v>
      </c>
      <c r="J78" s="57">
        <f t="shared" si="22"/>
        <v>-977.99381400578932</v>
      </c>
      <c r="K78" s="9"/>
      <c r="M78">
        <f t="shared" si="26"/>
        <v>0</v>
      </c>
      <c r="O78">
        <v>17</v>
      </c>
      <c r="P78">
        <f t="shared" si="23"/>
        <v>49.486258110216255</v>
      </c>
      <c r="Q78" s="5">
        <f t="shared" si="16"/>
        <v>-11.995603403784038</v>
      </c>
      <c r="R78" s="9" t="e">
        <f t="shared" si="24"/>
        <v>#DIV/0!</v>
      </c>
    </row>
    <row r="79" spans="1:18" x14ac:dyDescent="0.3">
      <c r="A79" s="50">
        <v>18</v>
      </c>
      <c r="B79" s="55">
        <f t="shared" si="17"/>
        <v>50.970845853522746</v>
      </c>
      <c r="C79" s="56">
        <f>(B79*'1_Cockpit'!$C$73)/100</f>
        <v>2475.1442746470643</v>
      </c>
      <c r="D79" s="56">
        <f t="shared" si="25"/>
        <v>35063.187029549183</v>
      </c>
      <c r="E79" s="56">
        <f>((D33+E33+H33)/(('5_Ertrag'!$I$108))*100)</f>
        <v>37.645487192774674</v>
      </c>
      <c r="F79" s="56">
        <f t="shared" si="18"/>
        <v>28281.779173229908</v>
      </c>
      <c r="G79" s="56">
        <f t="shared" si="19"/>
        <v>6354.5941687090244</v>
      </c>
      <c r="H79" s="56">
        <f t="shared" si="20"/>
        <v>0</v>
      </c>
      <c r="I79" s="56">
        <f t="shared" si="21"/>
        <v>34636.373341938932</v>
      </c>
      <c r="J79" s="57">
        <f t="shared" si="22"/>
        <v>426.81368761025078</v>
      </c>
      <c r="K79" s="9"/>
      <c r="M79">
        <f t="shared" si="26"/>
        <v>18</v>
      </c>
      <c r="O79">
        <v>18</v>
      </c>
      <c r="P79">
        <f t="shared" si="23"/>
        <v>50.970845853522746</v>
      </c>
      <c r="Q79" s="5">
        <f t="shared" si="16"/>
        <v>-13.325358660748073</v>
      </c>
      <c r="R79" s="9" t="e">
        <f t="shared" si="24"/>
        <v>#DIV/0!</v>
      </c>
    </row>
    <row r="80" spans="1:18" x14ac:dyDescent="0.3">
      <c r="A80" s="50">
        <v>19</v>
      </c>
      <c r="B80" s="55">
        <f t="shared" si="17"/>
        <v>52.499971229128427</v>
      </c>
      <c r="C80" s="56">
        <f>(B80*'1_Cockpit'!$C$73)/100</f>
        <v>2549.3986028864765</v>
      </c>
      <c r="D80" s="56">
        <f t="shared" si="25"/>
        <v>37612.585632435657</v>
      </c>
      <c r="E80" s="56">
        <f>((D34+E34+H34)/(('5_Ertrag'!$I$108))*100)</f>
        <v>37.801868003980552</v>
      </c>
      <c r="F80" s="56">
        <f t="shared" si="18"/>
        <v>28909.756597965406</v>
      </c>
      <c r="G80" s="56">
        <f t="shared" si="19"/>
        <v>6816.6284236660713</v>
      </c>
      <c r="H80" s="56">
        <f t="shared" si="20"/>
        <v>0</v>
      </c>
      <c r="I80" s="56">
        <f t="shared" si="21"/>
        <v>35726.385021631475</v>
      </c>
      <c r="J80" s="57">
        <f t="shared" si="22"/>
        <v>1886.2006108041824</v>
      </c>
      <c r="K80" s="9"/>
      <c r="M80">
        <f t="shared" si="26"/>
        <v>0</v>
      </c>
      <c r="O80">
        <v>19</v>
      </c>
      <c r="P80">
        <f t="shared" si="23"/>
        <v>52.499971229128427</v>
      </c>
      <c r="Q80" s="5">
        <f t="shared" si="16"/>
        <v>-14.698103225147875</v>
      </c>
      <c r="R80" s="9" t="e">
        <f t="shared" si="24"/>
        <v>#DIV/0!</v>
      </c>
    </row>
    <row r="81" spans="1:18" x14ac:dyDescent="0.3">
      <c r="A81" s="50">
        <v>20</v>
      </c>
      <c r="B81" s="55">
        <f t="shared" si="17"/>
        <v>54.074970366002283</v>
      </c>
      <c r="C81" s="56">
        <f>(B81*'1_Cockpit'!$C$73)/100</f>
        <v>2625.8805609730707</v>
      </c>
      <c r="D81" s="56">
        <f t="shared" si="25"/>
        <v>40238.466193408727</v>
      </c>
      <c r="E81" s="56">
        <f>((D35+E35+H35)/(('5_Ertrag'!$I$108))*100)</f>
        <v>37.934661302073138</v>
      </c>
      <c r="F81" s="56">
        <f t="shared" si="18"/>
        <v>29544.01379694826</v>
      </c>
      <c r="G81" s="56">
        <f t="shared" si="19"/>
        <v>7292.5237062718288</v>
      </c>
      <c r="H81" s="56">
        <f t="shared" si="20"/>
        <v>0</v>
      </c>
      <c r="I81" s="56">
        <f t="shared" si="21"/>
        <v>36836.53750322009</v>
      </c>
      <c r="J81" s="57">
        <f t="shared" si="22"/>
        <v>3401.9286901886371</v>
      </c>
      <c r="K81" s="9"/>
      <c r="M81">
        <f t="shared" si="26"/>
        <v>0</v>
      </c>
      <c r="O81">
        <v>20</v>
      </c>
      <c r="P81">
        <f t="shared" si="23"/>
        <v>54.074970366002283</v>
      </c>
      <c r="Q81" s="5">
        <f t="shared" si="16"/>
        <v>-16.140309063929145</v>
      </c>
      <c r="R81" s="9" t="e">
        <f t="shared" si="24"/>
        <v>#DIV/0!</v>
      </c>
    </row>
    <row r="82" spans="1:18" x14ac:dyDescent="0.3">
      <c r="A82" s="50">
        <v>21</v>
      </c>
      <c r="B82" s="55">
        <f t="shared" si="17"/>
        <v>55.697219476982355</v>
      </c>
      <c r="C82" s="56">
        <f>(B82*'1_Cockpit'!$C$73)/100</f>
        <v>2704.6569778022631</v>
      </c>
      <c r="D82" s="56">
        <f t="shared" si="25"/>
        <v>42943.123171210987</v>
      </c>
      <c r="E82" s="56">
        <f>((D36+E36+H36)/(('5_Ertrag'!$I$108))*100)</f>
        <v>0</v>
      </c>
      <c r="F82" s="56">
        <f t="shared" si="18"/>
        <v>29544.01379694826</v>
      </c>
      <c r="G82" s="56">
        <f t="shared" si="19"/>
        <v>9997.1806840740901</v>
      </c>
      <c r="H82" s="56">
        <f t="shared" si="20"/>
        <v>0</v>
      </c>
      <c r="I82" s="56">
        <f t="shared" si="21"/>
        <v>39541.19448102235</v>
      </c>
      <c r="J82" s="57">
        <f t="shared" si="22"/>
        <v>3401.9286901886371</v>
      </c>
      <c r="K82" s="9"/>
      <c r="M82">
        <f t="shared" si="26"/>
        <v>0</v>
      </c>
      <c r="O82">
        <v>21</v>
      </c>
      <c r="P82">
        <f t="shared" si="23"/>
        <v>0</v>
      </c>
      <c r="Q82" s="5">
        <f t="shared" si="16"/>
        <v>-55.697219476982355</v>
      </c>
      <c r="R82" s="9" t="e">
        <f t="shared" si="24"/>
        <v>#DIV/0!</v>
      </c>
    </row>
    <row r="83" spans="1:18" x14ac:dyDescent="0.3">
      <c r="A83" s="50">
        <v>22</v>
      </c>
      <c r="B83" s="55">
        <f t="shared" si="17"/>
        <v>57.368136061291828</v>
      </c>
      <c r="C83" s="56">
        <f>(B83*'1_Cockpit'!$C$73)/100</f>
        <v>2785.7966871363315</v>
      </c>
      <c r="D83" s="56">
        <f t="shared" si="25"/>
        <v>45728.919858347319</v>
      </c>
      <c r="E83" s="56">
        <f>((D37+E37+H37)/(('5_Ertrag'!$I$108))*100)</f>
        <v>0</v>
      </c>
      <c r="F83" s="56">
        <f t="shared" si="18"/>
        <v>29544.01379694826</v>
      </c>
      <c r="G83" s="56">
        <f t="shared" si="19"/>
        <v>12782.977371210418</v>
      </c>
      <c r="H83" s="56">
        <f t="shared" si="20"/>
        <v>0</v>
      </c>
      <c r="I83" s="56">
        <f t="shared" si="21"/>
        <v>42326.991168158682</v>
      </c>
      <c r="J83" s="57">
        <f t="shared" si="22"/>
        <v>3401.9286901886371</v>
      </c>
      <c r="K83" s="9"/>
      <c r="M83">
        <f t="shared" si="26"/>
        <v>0</v>
      </c>
      <c r="O83">
        <v>22</v>
      </c>
      <c r="P83">
        <f t="shared" si="23"/>
        <v>0</v>
      </c>
      <c r="Q83" s="5">
        <f t="shared" si="16"/>
        <v>-57.368136061291828</v>
      </c>
      <c r="R83" s="9" t="e">
        <f t="shared" si="24"/>
        <v>#DIV/0!</v>
      </c>
    </row>
    <row r="84" spans="1:18" x14ac:dyDescent="0.3">
      <c r="A84" s="50">
        <v>23</v>
      </c>
      <c r="B84" s="55">
        <f t="shared" si="17"/>
        <v>59.089180143130584</v>
      </c>
      <c r="C84" s="56">
        <f>(B84*'1_Cockpit'!$C$73)/100</f>
        <v>2869.3705877504212</v>
      </c>
      <c r="D84" s="56">
        <f t="shared" si="25"/>
        <v>48598.290446097737</v>
      </c>
      <c r="E84" s="56">
        <f>((D38+E38+H38)/(('5_Ertrag'!$I$108))*100)</f>
        <v>0</v>
      </c>
      <c r="F84" s="56">
        <f t="shared" si="18"/>
        <v>29544.01379694826</v>
      </c>
      <c r="G84" s="56">
        <f t="shared" si="19"/>
        <v>15652.347958960836</v>
      </c>
      <c r="H84" s="56">
        <f t="shared" si="20"/>
        <v>0</v>
      </c>
      <c r="I84" s="56">
        <f t="shared" si="21"/>
        <v>45196.361755909093</v>
      </c>
      <c r="J84" s="57">
        <f t="shared" si="22"/>
        <v>3401.9286901886444</v>
      </c>
      <c r="K84" s="9"/>
      <c r="M84">
        <f t="shared" si="26"/>
        <v>0</v>
      </c>
      <c r="O84">
        <v>23</v>
      </c>
      <c r="P84">
        <f t="shared" si="23"/>
        <v>0</v>
      </c>
      <c r="Q84" s="5">
        <f t="shared" si="16"/>
        <v>-59.089180143130584</v>
      </c>
      <c r="R84" s="9" t="e">
        <f t="shared" si="24"/>
        <v>#DIV/0!</v>
      </c>
    </row>
    <row r="85" spans="1:18" x14ac:dyDescent="0.3">
      <c r="A85" s="50">
        <v>24</v>
      </c>
      <c r="B85" s="55">
        <f t="shared" si="17"/>
        <v>60.861855547424504</v>
      </c>
      <c r="C85" s="56">
        <f>(B85*'1_Cockpit'!$C$73)/100</f>
        <v>2955.4517053829336</v>
      </c>
      <c r="D85" s="56">
        <f t="shared" si="25"/>
        <v>51553.74215148067</v>
      </c>
      <c r="E85" s="56">
        <f>((D39+E39+H39)/(('5_Ertrag'!$I$108))*100)</f>
        <v>0</v>
      </c>
      <c r="F85" s="56">
        <f t="shared" si="18"/>
        <v>29544.01379694826</v>
      </c>
      <c r="G85" s="56">
        <f t="shared" si="19"/>
        <v>18607.799664343765</v>
      </c>
      <c r="H85" s="56">
        <f t="shared" si="20"/>
        <v>0</v>
      </c>
      <c r="I85" s="56">
        <f t="shared" si="21"/>
        <v>48151.813461292026</v>
      </c>
      <c r="J85" s="57">
        <f t="shared" si="22"/>
        <v>3401.9286901886444</v>
      </c>
      <c r="K85" s="9"/>
      <c r="M85">
        <f t="shared" si="26"/>
        <v>0</v>
      </c>
      <c r="O85">
        <v>24</v>
      </c>
      <c r="P85">
        <f t="shared" si="23"/>
        <v>0</v>
      </c>
      <c r="Q85" s="5">
        <f t="shared" si="16"/>
        <v>-60.861855547424504</v>
      </c>
      <c r="R85" s="9" t="e">
        <f t="shared" si="24"/>
        <v>#DIV/0!</v>
      </c>
    </row>
    <row r="86" spans="1:18" x14ac:dyDescent="0.3">
      <c r="A86" s="50">
        <v>25</v>
      </c>
      <c r="B86" s="55">
        <f t="shared" si="17"/>
        <v>62.687711213847244</v>
      </c>
      <c r="C86" s="56">
        <f>(B86*'1_Cockpit'!$C$73)/100</f>
        <v>3044.1152565444222</v>
      </c>
      <c r="D86" s="56">
        <f t="shared" si="25"/>
        <v>54597.857408025091</v>
      </c>
      <c r="E86" s="56">
        <f>((D40+E40+H40)/(('5_Ertrag'!$I$108))*100)</f>
        <v>0</v>
      </c>
      <c r="F86" s="56">
        <f t="shared" si="18"/>
        <v>29544.01379694826</v>
      </c>
      <c r="G86" s="56">
        <f t="shared" si="19"/>
        <v>21651.914920888183</v>
      </c>
      <c r="H86" s="56">
        <f t="shared" si="20"/>
        <v>0</v>
      </c>
      <c r="I86" s="56">
        <f t="shared" si="21"/>
        <v>51195.928717836447</v>
      </c>
      <c r="J86" s="57">
        <f t="shared" si="22"/>
        <v>3401.9286901886444</v>
      </c>
      <c r="K86" s="9"/>
      <c r="M86">
        <f t="shared" si="26"/>
        <v>0</v>
      </c>
      <c r="O86">
        <v>25</v>
      </c>
      <c r="P86">
        <f t="shared" si="23"/>
        <v>0</v>
      </c>
      <c r="Q86" s="5">
        <f t="shared" si="16"/>
        <v>-62.687711213847244</v>
      </c>
      <c r="R86" s="9" t="e">
        <f t="shared" si="24"/>
        <v>#DIV/0!</v>
      </c>
    </row>
    <row r="87" spans="1:18" x14ac:dyDescent="0.3">
      <c r="A87" s="50">
        <v>26</v>
      </c>
      <c r="B87" s="55">
        <f t="shared" si="17"/>
        <v>64.568342550262656</v>
      </c>
      <c r="C87" s="56">
        <f>(B87*'1_Cockpit'!$C$73)/100</f>
        <v>3135.4387142407545</v>
      </c>
      <c r="D87" s="56">
        <f t="shared" si="25"/>
        <v>57733.296122265849</v>
      </c>
      <c r="E87" s="56">
        <f>((D41+E41+H41)/(('5_Ertrag'!$I$108))*100)</f>
        <v>0</v>
      </c>
      <c r="F87" s="56">
        <f t="shared" si="18"/>
        <v>29544.01379694826</v>
      </c>
      <c r="G87" s="56">
        <f t="shared" si="19"/>
        <v>24787.353635128933</v>
      </c>
      <c r="H87" s="56">
        <f t="shared" si="20"/>
        <v>0</v>
      </c>
      <c r="I87" s="56">
        <f t="shared" si="21"/>
        <v>54331.367432077197</v>
      </c>
      <c r="J87" s="57">
        <f t="shared" si="22"/>
        <v>3401.9286901886517</v>
      </c>
      <c r="K87" s="9"/>
      <c r="M87">
        <f t="shared" si="26"/>
        <v>0</v>
      </c>
      <c r="O87">
        <v>26</v>
      </c>
      <c r="P87">
        <f t="shared" si="23"/>
        <v>0</v>
      </c>
      <c r="Q87" s="5">
        <f t="shared" si="16"/>
        <v>-64.568342550262656</v>
      </c>
      <c r="R87" s="9" t="e">
        <f t="shared" si="24"/>
        <v>#DIV/0!</v>
      </c>
    </row>
    <row r="88" spans="1:18" x14ac:dyDescent="0.3">
      <c r="A88" s="50">
        <v>27</v>
      </c>
      <c r="B88" s="55">
        <f t="shared" si="17"/>
        <v>66.505392826770532</v>
      </c>
      <c r="C88" s="56">
        <f>(B88*'1_Cockpit'!$C$73)/100</f>
        <v>3229.5018756679769</v>
      </c>
      <c r="D88" s="56">
        <f t="shared" si="25"/>
        <v>60962.797997933827</v>
      </c>
      <c r="E88" s="56">
        <f>((D42+E42+H42)/(('5_Ertrag'!$I$108))*100)</f>
        <v>0</v>
      </c>
      <c r="F88" s="56">
        <f t="shared" si="18"/>
        <v>29544.01379694826</v>
      </c>
      <c r="G88" s="56">
        <f t="shared" si="19"/>
        <v>28016.855510796908</v>
      </c>
      <c r="H88" s="56">
        <f t="shared" si="20"/>
        <v>0</v>
      </c>
      <c r="I88" s="56">
        <f t="shared" si="21"/>
        <v>57560.869307745168</v>
      </c>
      <c r="J88" s="57">
        <f t="shared" si="22"/>
        <v>3401.9286901886589</v>
      </c>
      <c r="M88">
        <f t="shared" si="26"/>
        <v>0</v>
      </c>
      <c r="O88">
        <v>27</v>
      </c>
      <c r="P88">
        <f t="shared" si="23"/>
        <v>0</v>
      </c>
      <c r="Q88" s="5">
        <f t="shared" si="16"/>
        <v>-66.505392826770532</v>
      </c>
      <c r="R88" s="9" t="e">
        <f t="shared" si="24"/>
        <v>#DIV/0!</v>
      </c>
    </row>
    <row r="89" spans="1:18" x14ac:dyDescent="0.3">
      <c r="A89" s="50">
        <v>28</v>
      </c>
      <c r="B89" s="55">
        <f t="shared" si="17"/>
        <v>68.500554611573648</v>
      </c>
      <c r="C89" s="56">
        <f>(B89*'1_Cockpit'!$C$73)/100</f>
        <v>3326.386931938016</v>
      </c>
      <c r="D89" s="56">
        <f t="shared" si="25"/>
        <v>64289.184929871844</v>
      </c>
      <c r="E89" s="56">
        <f>((D43+E43+H43)/(('5_Ertrag'!$I$108))*100)</f>
        <v>0</v>
      </c>
      <c r="F89" s="56">
        <f t="shared" si="18"/>
        <v>29544.01379694826</v>
      </c>
      <c r="G89" s="56">
        <f t="shared" si="19"/>
        <v>31343.242442734921</v>
      </c>
      <c r="H89" s="56">
        <f t="shared" si="20"/>
        <v>0</v>
      </c>
      <c r="I89" s="56">
        <f t="shared" si="21"/>
        <v>60887.256239683178</v>
      </c>
      <c r="J89" s="57">
        <f t="shared" si="22"/>
        <v>3401.9286901886662</v>
      </c>
      <c r="M89">
        <f t="shared" si="26"/>
        <v>0</v>
      </c>
      <c r="O89">
        <v>28</v>
      </c>
      <c r="P89">
        <f t="shared" si="23"/>
        <v>0</v>
      </c>
      <c r="Q89" s="5">
        <f t="shared" si="16"/>
        <v>-68.500554611573648</v>
      </c>
      <c r="R89" s="9" t="e">
        <f t="shared" si="24"/>
        <v>#DIV/0!</v>
      </c>
    </row>
    <row r="90" spans="1:18" x14ac:dyDescent="0.3">
      <c r="A90" s="50">
        <v>29</v>
      </c>
      <c r="B90" s="55">
        <f t="shared" si="17"/>
        <v>70.55557124992086</v>
      </c>
      <c r="C90" s="56">
        <f>(B90*'1_Cockpit'!$C$73)/100</f>
        <v>3426.178539896157</v>
      </c>
      <c r="D90" s="56">
        <f t="shared" si="25"/>
        <v>67715.363469767995</v>
      </c>
      <c r="E90" s="56">
        <f>((D44+E44+H44)/(('5_Ertrag'!$I$108))*100)</f>
        <v>0</v>
      </c>
      <c r="F90" s="56">
        <f t="shared" si="18"/>
        <v>29544.01379694826</v>
      </c>
      <c r="G90" s="56">
        <f t="shared" si="19"/>
        <v>34769.420982631076</v>
      </c>
      <c r="H90" s="56">
        <f t="shared" si="20"/>
        <v>0</v>
      </c>
      <c r="I90" s="56">
        <f t="shared" si="21"/>
        <v>64313.434779579336</v>
      </c>
      <c r="J90" s="57">
        <f t="shared" si="22"/>
        <v>3401.9286901886589</v>
      </c>
      <c r="M90">
        <f t="shared" si="26"/>
        <v>0</v>
      </c>
      <c r="O90">
        <v>29</v>
      </c>
      <c r="P90">
        <f t="shared" si="23"/>
        <v>0</v>
      </c>
      <c r="Q90" s="5">
        <f t="shared" si="16"/>
        <v>-70.55557124992086</v>
      </c>
      <c r="R90" s="9" t="e">
        <f t="shared" si="24"/>
        <v>#DIV/0!</v>
      </c>
    </row>
    <row r="91" spans="1:18" x14ac:dyDescent="0.3">
      <c r="A91" s="50">
        <v>30</v>
      </c>
      <c r="B91" s="55">
        <f t="shared" si="17"/>
        <v>72.672238387418489</v>
      </c>
      <c r="C91" s="56">
        <f>(B91*'1_Cockpit'!$C$73)/100</f>
        <v>3528.963896093042</v>
      </c>
      <c r="D91" s="56">
        <f t="shared" si="25"/>
        <v>71244.327365861041</v>
      </c>
      <c r="E91" s="56">
        <f>((D45+E45+H45)/(('5_Ertrag'!$I$108))*100)</f>
        <v>0</v>
      </c>
      <c r="F91" s="56">
        <f t="shared" si="18"/>
        <v>29544.01379694826</v>
      </c>
      <c r="G91" s="56">
        <f t="shared" si="19"/>
        <v>38298.384878724115</v>
      </c>
      <c r="H91" s="56">
        <f t="shared" si="20"/>
        <v>0</v>
      </c>
      <c r="I91" s="56">
        <f t="shared" si="21"/>
        <v>67842.398675672375</v>
      </c>
      <c r="J91" s="57">
        <f t="shared" si="22"/>
        <v>3401.9286901886662</v>
      </c>
      <c r="M91">
        <f t="shared" si="26"/>
        <v>0</v>
      </c>
      <c r="O91">
        <v>30</v>
      </c>
      <c r="P91">
        <f t="shared" si="23"/>
        <v>0</v>
      </c>
      <c r="Q91" s="5">
        <f t="shared" si="16"/>
        <v>-72.672238387418489</v>
      </c>
      <c r="R91" s="9" t="e">
        <f t="shared" si="24"/>
        <v>#DIV/0!</v>
      </c>
    </row>
    <row r="92" spans="1:18" x14ac:dyDescent="0.3">
      <c r="A92" s="50">
        <v>31</v>
      </c>
      <c r="B92" s="55">
        <f t="shared" si="17"/>
        <v>74.852405539041044</v>
      </c>
      <c r="C92" s="56">
        <f>(B92*'1_Cockpit'!$C$73)/100</f>
        <v>3634.8328129758329</v>
      </c>
      <c r="D92" s="56">
        <f t="shared" ref="D92:D97" si="27">C92+D91</f>
        <v>74879.160178836872</v>
      </c>
      <c r="E92" s="56">
        <f>((D46+E46+H46)/(('5_Ertrag'!$I$108))*100)</f>
        <v>0</v>
      </c>
      <c r="F92" s="56">
        <f t="shared" si="18"/>
        <v>29544.01379694826</v>
      </c>
      <c r="G92" s="56">
        <f t="shared" si="19"/>
        <v>41933.217691699945</v>
      </c>
      <c r="H92" s="56">
        <f t="shared" si="20"/>
        <v>0</v>
      </c>
      <c r="I92" s="56">
        <f t="shared" ref="I92:I97" si="28">F92+G92+H92</f>
        <v>71477.231488648205</v>
      </c>
      <c r="J92" s="57">
        <f t="shared" si="22"/>
        <v>3401.9286901886662</v>
      </c>
      <c r="M92">
        <f t="shared" si="26"/>
        <v>0</v>
      </c>
      <c r="O92">
        <v>31</v>
      </c>
      <c r="P92">
        <f t="shared" si="23"/>
        <v>0</v>
      </c>
      <c r="Q92" s="5">
        <f t="shared" si="16"/>
        <v>-74.852405539041044</v>
      </c>
      <c r="R92" s="9" t="e">
        <f t="shared" si="24"/>
        <v>#DIV/0!</v>
      </c>
    </row>
    <row r="93" spans="1:18" x14ac:dyDescent="0.3">
      <c r="A93" s="50">
        <v>32</v>
      </c>
      <c r="B93" s="55">
        <f t="shared" si="17"/>
        <v>77.097977705212273</v>
      </c>
      <c r="C93" s="56">
        <f>(B93*'1_Cockpit'!$C$73)/100</f>
        <v>3743.8777973651077</v>
      </c>
      <c r="D93" s="56">
        <f t="shared" si="27"/>
        <v>78623.037976201973</v>
      </c>
      <c r="E93" s="56">
        <f>((D47+E47+H47)/(('5_Ertrag'!$I$108))*100)</f>
        <v>0</v>
      </c>
      <c r="F93" s="56">
        <f t="shared" si="18"/>
        <v>29544.01379694826</v>
      </c>
      <c r="G93" s="56">
        <f t="shared" si="19"/>
        <v>45677.095489065046</v>
      </c>
      <c r="H93" s="56">
        <f t="shared" si="20"/>
        <v>0</v>
      </c>
      <c r="I93" s="56">
        <f t="shared" si="28"/>
        <v>75221.109286013307</v>
      </c>
      <c r="J93" s="57">
        <f t="shared" si="22"/>
        <v>3401.9286901886662</v>
      </c>
      <c r="M93">
        <f t="shared" si="26"/>
        <v>0</v>
      </c>
      <c r="O93">
        <v>32</v>
      </c>
      <c r="P93">
        <f t="shared" si="23"/>
        <v>0</v>
      </c>
      <c r="Q93" s="5">
        <f t="shared" si="16"/>
        <v>-77.097977705212273</v>
      </c>
      <c r="R93" s="9" t="e">
        <f t="shared" si="24"/>
        <v>#DIV/0!</v>
      </c>
    </row>
    <row r="94" spans="1:18" x14ac:dyDescent="0.3">
      <c r="A94" s="50">
        <v>33</v>
      </c>
      <c r="B94" s="55">
        <f t="shared" si="17"/>
        <v>79.410917036368645</v>
      </c>
      <c r="C94" s="56">
        <f>(B94*'1_Cockpit'!$C$73)/100</f>
        <v>3856.1941312860617</v>
      </c>
      <c r="D94" s="56">
        <f t="shared" si="27"/>
        <v>82479.232107488031</v>
      </c>
      <c r="E94" s="56">
        <f>((D48+E48+H48)/(('5_Ertrag'!$I$108))*100)</f>
        <v>0</v>
      </c>
      <c r="F94" s="56">
        <f t="shared" si="18"/>
        <v>29544.01379694826</v>
      </c>
      <c r="G94" s="56">
        <f t="shared" si="19"/>
        <v>49533.289620351105</v>
      </c>
      <c r="H94" s="56">
        <f t="shared" si="20"/>
        <v>0</v>
      </c>
      <c r="I94" s="56">
        <f t="shared" si="28"/>
        <v>79077.303417299365</v>
      </c>
      <c r="J94" s="57">
        <f t="shared" si="22"/>
        <v>3401.9286901886662</v>
      </c>
      <c r="M94">
        <f t="shared" si="26"/>
        <v>0</v>
      </c>
      <c r="O94">
        <v>33</v>
      </c>
      <c r="P94">
        <f t="shared" si="23"/>
        <v>0</v>
      </c>
      <c r="Q94" s="5">
        <f t="shared" si="16"/>
        <v>-79.410917036368645</v>
      </c>
      <c r="R94" s="9" t="e">
        <f t="shared" si="24"/>
        <v>#DIV/0!</v>
      </c>
    </row>
    <row r="95" spans="1:18" x14ac:dyDescent="0.3">
      <c r="A95" s="50">
        <v>34</v>
      </c>
      <c r="B95" s="55">
        <f t="shared" si="17"/>
        <v>81.793244547459707</v>
      </c>
      <c r="C95" s="56">
        <f>(B95*'1_Cockpit'!$C$73)/100</f>
        <v>3971.8799552246433</v>
      </c>
      <c r="D95" s="56">
        <f t="shared" si="27"/>
        <v>86451.11206271268</v>
      </c>
      <c r="E95" s="56">
        <f>((D49+E49+H49)/(('5_Ertrag'!$I$108))*100)</f>
        <v>0</v>
      </c>
      <c r="F95" s="56">
        <f t="shared" si="18"/>
        <v>29544.01379694826</v>
      </c>
      <c r="G95" s="56">
        <f t="shared" si="19"/>
        <v>53505.169575575739</v>
      </c>
      <c r="H95" s="56">
        <f t="shared" si="20"/>
        <v>0</v>
      </c>
      <c r="I95" s="56">
        <f t="shared" si="28"/>
        <v>83049.183372523999</v>
      </c>
      <c r="J95" s="57">
        <f t="shared" si="22"/>
        <v>3401.9286901886808</v>
      </c>
      <c r="M95">
        <f t="shared" si="26"/>
        <v>0</v>
      </c>
      <c r="O95">
        <v>34</v>
      </c>
      <c r="P95">
        <f t="shared" si="23"/>
        <v>0</v>
      </c>
      <c r="Q95" s="5">
        <f t="shared" si="16"/>
        <v>-81.793244547459707</v>
      </c>
      <c r="R95" s="9" t="e">
        <f t="shared" si="24"/>
        <v>#DIV/0!</v>
      </c>
    </row>
    <row r="96" spans="1:18" x14ac:dyDescent="0.3">
      <c r="A96" s="50">
        <v>35</v>
      </c>
      <c r="B96" s="55">
        <f t="shared" si="17"/>
        <v>84.247041883883497</v>
      </c>
      <c r="C96" s="56">
        <f>(B96*'1_Cockpit'!$C$73)/100</f>
        <v>4091.0363538813822</v>
      </c>
      <c r="D96" s="56">
        <f t="shared" si="27"/>
        <v>90542.148416594064</v>
      </c>
      <c r="E96" s="56">
        <f>((D50+E50+H50)/(('5_Ertrag'!$I$108))*100)</f>
        <v>0</v>
      </c>
      <c r="F96" s="56">
        <f t="shared" si="18"/>
        <v>29544.01379694826</v>
      </c>
      <c r="G96" s="56">
        <f t="shared" si="19"/>
        <v>57596.205929457115</v>
      </c>
      <c r="H96" s="56">
        <f t="shared" si="20"/>
        <v>0</v>
      </c>
      <c r="I96" s="56">
        <f t="shared" si="28"/>
        <v>87140.219726405368</v>
      </c>
      <c r="J96" s="57">
        <f t="shared" si="22"/>
        <v>3401.9286901886953</v>
      </c>
      <c r="M96">
        <f t="shared" si="26"/>
        <v>0</v>
      </c>
      <c r="O96">
        <v>35</v>
      </c>
      <c r="P96">
        <f t="shared" si="23"/>
        <v>0</v>
      </c>
      <c r="Q96" s="5">
        <f t="shared" si="16"/>
        <v>-84.247041883883497</v>
      </c>
      <c r="R96" s="9" t="e">
        <f t="shared" si="24"/>
        <v>#DIV/0!</v>
      </c>
    </row>
    <row r="97" spans="1:18" x14ac:dyDescent="0.3">
      <c r="A97" s="50">
        <v>36</v>
      </c>
      <c r="B97" s="55">
        <f t="shared" si="17"/>
        <v>86.774453140399999</v>
      </c>
      <c r="C97" s="56">
        <f>(B97*'1_Cockpit'!$C$73)/100</f>
        <v>4213.7674444978238</v>
      </c>
      <c r="D97" s="56">
        <f t="shared" si="27"/>
        <v>94755.915861091882</v>
      </c>
      <c r="E97" s="56">
        <f>((D51+E51+H51)/(('5_Ertrag'!$I$108))*100)</f>
        <v>0</v>
      </c>
      <c r="F97" s="56">
        <f t="shared" si="18"/>
        <v>29544.01379694826</v>
      </c>
      <c r="G97" s="56">
        <f t="shared" si="19"/>
        <v>61809.973373954934</v>
      </c>
      <c r="H97" s="56">
        <f t="shared" si="20"/>
        <v>0</v>
      </c>
      <c r="I97" s="56">
        <f t="shared" si="28"/>
        <v>91353.987170903187</v>
      </c>
      <c r="J97" s="57">
        <f t="shared" si="22"/>
        <v>3401.9286901886953</v>
      </c>
      <c r="M97">
        <f t="shared" si="26"/>
        <v>0</v>
      </c>
      <c r="O97">
        <v>36</v>
      </c>
      <c r="P97">
        <f t="shared" si="23"/>
        <v>0</v>
      </c>
      <c r="Q97" s="5">
        <f t="shared" si="16"/>
        <v>-86.774453140399999</v>
      </c>
      <c r="R97" s="9" t="e">
        <f t="shared" si="24"/>
        <v>#DIV/0!</v>
      </c>
    </row>
    <row r="98" spans="1:18" x14ac:dyDescent="0.3">
      <c r="A98" s="50">
        <v>37</v>
      </c>
      <c r="B98" s="55">
        <f t="shared" si="17"/>
        <v>89.377686734611999</v>
      </c>
      <c r="C98" s="56">
        <f>(B98*'1_Cockpit'!$C$73)/100</f>
        <v>4340.180467832758</v>
      </c>
      <c r="D98" s="56">
        <f t="shared" ref="D98:D101" si="29">C98+D97</f>
        <v>99096.096328924643</v>
      </c>
      <c r="E98" s="56">
        <f>((D52+E52+H52)/(('5_Ertrag'!$I$108))*100)</f>
        <v>0</v>
      </c>
      <c r="F98" s="56">
        <f t="shared" si="18"/>
        <v>29544.01379694826</v>
      </c>
      <c r="G98" s="56">
        <f t="shared" si="19"/>
        <v>66150.153841787687</v>
      </c>
      <c r="H98" s="56">
        <f t="shared" si="20"/>
        <v>0</v>
      </c>
      <c r="I98" s="56">
        <f t="shared" ref="I98:I101" si="30">F98+G98+H98</f>
        <v>95694.167638735948</v>
      </c>
      <c r="J98" s="57">
        <f t="shared" si="22"/>
        <v>3401.9286901886953</v>
      </c>
      <c r="M98">
        <f t="shared" si="26"/>
        <v>0</v>
      </c>
      <c r="O98">
        <v>37</v>
      </c>
      <c r="P98">
        <f t="shared" si="23"/>
        <v>0</v>
      </c>
      <c r="Q98" s="5">
        <f t="shared" si="16"/>
        <v>-89.377686734611999</v>
      </c>
      <c r="R98" s="9" t="e">
        <f t="shared" si="24"/>
        <v>#DIV/0!</v>
      </c>
    </row>
    <row r="99" spans="1:18" x14ac:dyDescent="0.3">
      <c r="A99" s="50">
        <v>38</v>
      </c>
      <c r="B99" s="55">
        <f t="shared" si="17"/>
        <v>92.059017336650356</v>
      </c>
      <c r="C99" s="56">
        <f>(B99*'1_Cockpit'!$C$73)/100</f>
        <v>4470.3858818677409</v>
      </c>
      <c r="D99" s="56">
        <f t="shared" si="29"/>
        <v>103566.48221079238</v>
      </c>
      <c r="E99" s="56">
        <f>((D53+E53+H53)/(('5_Ertrag'!$I$108))*100)</f>
        <v>0</v>
      </c>
      <c r="F99" s="56">
        <f t="shared" si="18"/>
        <v>29544.01379694826</v>
      </c>
      <c r="G99" s="56">
        <f t="shared" si="19"/>
        <v>70620.539723655427</v>
      </c>
      <c r="H99" s="56">
        <f t="shared" si="20"/>
        <v>0</v>
      </c>
      <c r="I99" s="56">
        <f t="shared" si="30"/>
        <v>100164.55352060369</v>
      </c>
      <c r="J99" s="57">
        <f t="shared" si="22"/>
        <v>3401.9286901886953</v>
      </c>
      <c r="M99">
        <f t="shared" si="26"/>
        <v>0</v>
      </c>
      <c r="O99">
        <v>38</v>
      </c>
      <c r="P99">
        <f t="shared" si="23"/>
        <v>0</v>
      </c>
      <c r="Q99" s="5">
        <f t="shared" si="16"/>
        <v>-92.059017336650356</v>
      </c>
      <c r="R99" s="9" t="e">
        <f t="shared" si="24"/>
        <v>#DIV/0!</v>
      </c>
    </row>
    <row r="100" spans="1:18" x14ac:dyDescent="0.3">
      <c r="A100" s="50">
        <v>39</v>
      </c>
      <c r="B100" s="55">
        <f t="shared" si="17"/>
        <v>94.820787856749874</v>
      </c>
      <c r="C100" s="56">
        <f>(B100*'1_Cockpit'!$C$73)/100</f>
        <v>4604.4974583237745</v>
      </c>
      <c r="D100" s="56">
        <f t="shared" si="29"/>
        <v>108170.97966911616</v>
      </c>
      <c r="E100" s="56">
        <f>((D54+E54+H54)/(('5_Ertrag'!$I$108))*100)</f>
        <v>0</v>
      </c>
      <c r="F100" s="56">
        <f t="shared" si="18"/>
        <v>29544.01379694826</v>
      </c>
      <c r="G100" s="56">
        <f t="shared" si="19"/>
        <v>75225.037181979191</v>
      </c>
      <c r="H100" s="56">
        <f t="shared" si="20"/>
        <v>0</v>
      </c>
      <c r="I100" s="56">
        <f t="shared" si="30"/>
        <v>104769.05097892745</v>
      </c>
      <c r="J100" s="57">
        <f t="shared" si="22"/>
        <v>3401.9286901887099</v>
      </c>
      <c r="M100">
        <f t="shared" si="26"/>
        <v>0</v>
      </c>
      <c r="O100">
        <v>39</v>
      </c>
      <c r="P100">
        <f t="shared" si="23"/>
        <v>0</v>
      </c>
      <c r="Q100" s="5">
        <f t="shared" si="16"/>
        <v>-94.820787856749874</v>
      </c>
      <c r="R100" s="9" t="e">
        <f t="shared" si="24"/>
        <v>#DIV/0!</v>
      </c>
    </row>
    <row r="101" spans="1:18" ht="15" thickBot="1" x14ac:dyDescent="0.35">
      <c r="A101" s="51">
        <v>40</v>
      </c>
      <c r="B101" s="58">
        <f t="shared" si="17"/>
        <v>97.665411492452378</v>
      </c>
      <c r="C101" s="59">
        <f>(B101*'1_Cockpit'!$C$73)/100</f>
        <v>4742.632382073487</v>
      </c>
      <c r="D101" s="59">
        <f t="shared" si="29"/>
        <v>112913.61205118964</v>
      </c>
      <c r="E101" s="59">
        <f>((D55+E55+H55)/(('5_Ertrag'!$I$108))*100)</f>
        <v>0</v>
      </c>
      <c r="F101" s="59">
        <f t="shared" si="18"/>
        <v>29544.01379694826</v>
      </c>
      <c r="G101" s="59">
        <f t="shared" si="19"/>
        <v>79967.669564052674</v>
      </c>
      <c r="H101" s="59">
        <f t="shared" si="20"/>
        <v>0</v>
      </c>
      <c r="I101" s="59">
        <f t="shared" si="30"/>
        <v>109511.68336100093</v>
      </c>
      <c r="J101" s="60">
        <f t="shared" si="22"/>
        <v>3401.9286901887099</v>
      </c>
      <c r="M101">
        <f t="shared" si="26"/>
        <v>0</v>
      </c>
      <c r="O101">
        <v>40</v>
      </c>
      <c r="P101">
        <f t="shared" si="23"/>
        <v>0</v>
      </c>
      <c r="Q101" s="5">
        <f t="shared" si="16"/>
        <v>-97.665411492452378</v>
      </c>
      <c r="R101" s="9" t="e">
        <f t="shared" si="24"/>
        <v>#DIV/0!</v>
      </c>
    </row>
    <row r="102" spans="1:18" x14ac:dyDescent="0.3">
      <c r="M102">
        <f>SUM(M63:M101)</f>
        <v>18</v>
      </c>
    </row>
    <row r="103" spans="1:18" ht="15" thickBot="1" x14ac:dyDescent="0.35">
      <c r="O103" t="s">
        <v>257</v>
      </c>
      <c r="P103">
        <f>AVERAGEIF(P62:P101,"&gt;0",P62:P101)</f>
        <v>41.431699128303869</v>
      </c>
    </row>
    <row r="104" spans="1:18" ht="59.4" thickBot="1" x14ac:dyDescent="0.35">
      <c r="A104" s="24" t="s">
        <v>256</v>
      </c>
      <c r="B104" s="82">
        <f>P103/100</f>
        <v>0.41431699128303867</v>
      </c>
      <c r="C104" s="48" t="s">
        <v>227</v>
      </c>
      <c r="D104" s="24" t="s">
        <v>253</v>
      </c>
      <c r="E104" s="82">
        <f>MAX(J15:J55)/('5_Ertrag'!I108*$E$9)</f>
        <v>0.37153549064669467</v>
      </c>
      <c r="F104" s="48" t="s">
        <v>227</v>
      </c>
      <c r="G104" s="24" t="s">
        <v>318</v>
      </c>
      <c r="H104" s="337">
        <f>'1_Cockpit'!G5</f>
        <v>3401.9286901886371</v>
      </c>
      <c r="I104" s="48" t="s">
        <v>227</v>
      </c>
      <c r="J104" s="24" t="s">
        <v>258</v>
      </c>
      <c r="K104" s="283">
        <f>IF(M102&lt;&gt;0,M102,"n/a")</f>
        <v>18</v>
      </c>
      <c r="L104" s="48" t="s">
        <v>57</v>
      </c>
      <c r="Q104" s="9"/>
    </row>
  </sheetData>
  <mergeCells count="3">
    <mergeCell ref="B1:D1"/>
    <mergeCell ref="B60:D60"/>
    <mergeCell ref="E60:I60"/>
  </mergeCells>
  <conditionalFormatting sqref="K104">
    <cfRule type="cellIs" dxfId="5" priority="5" operator="greaterThan">
      <formula>$E$9</formula>
    </cfRule>
    <cfRule type="cellIs" dxfId="4" priority="6" operator="equal">
      <formula>"n/a"</formula>
    </cfRule>
    <cfRule type="cellIs" dxfId="3" priority="7" operator="lessThanOrEqual">
      <formula>$E$9</formula>
    </cfRule>
  </conditionalFormatting>
  <conditionalFormatting sqref="E104">
    <cfRule type="cellIs" dxfId="2" priority="4" operator="lessThan">
      <formula>$B$104</formula>
    </cfRule>
  </conditionalFormatting>
  <conditionalFormatting sqref="H104">
    <cfRule type="cellIs" dxfId="1" priority="2" operator="lessThan">
      <formula>0</formula>
    </cfRule>
    <cfRule type="cellIs" dxfId="0" priority="3" operator="greaterThan">
      <formula>0</formula>
    </cfRule>
  </conditionalFormatting>
  <hyperlinks>
    <hyperlink ref="E61" location="'7_Erläuterungen_Hinweise'!A35" display="Stromgestehungskosten [Cent/kWh]" xr:uid="{DA5B0F58-BDF2-4F17-9E6B-107505909390}"/>
  </hyperlinks>
  <pageMargins left="0.7" right="0.7" top="0.78740157499999996" bottom="0.78740157499999996"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F337603B-20A4-4EAC-B349-50D158333546}">
            <x14:iconSet custom="1">
              <x14:cfvo type="percent">
                <xm:f>0</xm:f>
              </x14:cfvo>
              <x14:cfvo type="num">
                <xm:f>0</xm:f>
              </x14:cfvo>
              <x14:cfvo type="num">
                <xm:f>0</xm:f>
              </x14:cfvo>
              <x14:cfIcon iconSet="3TrafficLights1" iconId="2"/>
              <x14:cfIcon iconSet="3TrafficLights1" iconId="1"/>
              <x14:cfIcon iconSet="3TrafficLights1" iconId="0"/>
            </x14:iconSet>
          </x14:cfRule>
          <xm:sqref>Q62:Q101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5BA35-8E8B-4DF2-8F20-20FE15C70649}">
  <dimension ref="A1:AI77"/>
  <sheetViews>
    <sheetView showGridLines="0" topLeftCell="A39" zoomScale="76" zoomScaleNormal="76" workbookViewId="0">
      <selection sqref="A1:E42"/>
    </sheetView>
  </sheetViews>
  <sheetFormatPr baseColWidth="10" defaultColWidth="10.77734375" defaultRowHeight="14.4" x14ac:dyDescent="0.3"/>
  <cols>
    <col min="1" max="1" width="30.77734375" customWidth="1"/>
    <col min="2" max="2" width="105.21875" customWidth="1"/>
    <col min="3" max="3" width="39.77734375" customWidth="1"/>
    <col min="4" max="4" width="21" customWidth="1"/>
    <col min="5" max="5" width="70.44140625" customWidth="1"/>
    <col min="6" max="6" width="57.6640625" customWidth="1"/>
    <col min="34" max="34" width="26.44140625" customWidth="1"/>
  </cols>
  <sheetData>
    <row r="1" spans="1:8" ht="30.6" customHeight="1" thickBot="1" x14ac:dyDescent="0.35">
      <c r="A1" s="303" t="s">
        <v>259</v>
      </c>
      <c r="B1" s="303" t="s">
        <v>338</v>
      </c>
      <c r="C1" s="306" t="s">
        <v>440</v>
      </c>
      <c r="D1" s="303" t="s">
        <v>339</v>
      </c>
      <c r="E1" s="303" t="s">
        <v>400</v>
      </c>
    </row>
    <row r="2" spans="1:8" ht="87" thickBot="1" x14ac:dyDescent="0.35">
      <c r="A2" s="310" t="s">
        <v>110</v>
      </c>
      <c r="B2" s="310" t="s">
        <v>343</v>
      </c>
      <c r="C2" s="311"/>
      <c r="D2" s="310" t="s">
        <v>455</v>
      </c>
      <c r="E2" s="312" t="s">
        <v>111</v>
      </c>
    </row>
    <row r="3" spans="1:8" ht="58.2" thickBot="1" x14ac:dyDescent="0.35">
      <c r="A3" s="313" t="s">
        <v>50</v>
      </c>
      <c r="B3" s="313" t="s">
        <v>344</v>
      </c>
      <c r="C3" s="314"/>
      <c r="D3" s="313" t="s">
        <v>453</v>
      </c>
      <c r="E3" s="315" t="s">
        <v>112</v>
      </c>
      <c r="F3" s="236"/>
    </row>
    <row r="4" spans="1:8" ht="72.599999999999994" thickBot="1" x14ac:dyDescent="0.35">
      <c r="A4" s="310" t="s">
        <v>113</v>
      </c>
      <c r="B4" s="313" t="s">
        <v>345</v>
      </c>
      <c r="C4" s="311"/>
      <c r="D4" s="310" t="s">
        <v>453</v>
      </c>
      <c r="E4" s="312" t="s">
        <v>114</v>
      </c>
      <c r="F4" s="278"/>
    </row>
    <row r="5" spans="1:8" ht="57.6" x14ac:dyDescent="0.3">
      <c r="A5" s="374" t="s">
        <v>134</v>
      </c>
      <c r="B5" s="376" t="s">
        <v>437</v>
      </c>
      <c r="C5" s="314"/>
      <c r="D5" s="313" t="s">
        <v>513</v>
      </c>
      <c r="E5" s="315" t="s">
        <v>373</v>
      </c>
      <c r="F5" s="2"/>
    </row>
    <row r="6" spans="1:8" ht="72.599999999999994" thickBot="1" x14ac:dyDescent="0.35">
      <c r="A6" s="375"/>
      <c r="B6" s="377"/>
      <c r="C6" s="316"/>
      <c r="D6" s="305" t="s">
        <v>454</v>
      </c>
      <c r="E6" s="309" t="s">
        <v>374</v>
      </c>
      <c r="G6" s="301"/>
      <c r="H6" s="2"/>
    </row>
    <row r="7" spans="1:8" ht="43.2" customHeight="1" x14ac:dyDescent="0.3">
      <c r="A7" s="374" t="s">
        <v>363</v>
      </c>
      <c r="B7" s="389" t="s">
        <v>365</v>
      </c>
      <c r="C7" s="390" t="s">
        <v>215</v>
      </c>
      <c r="D7" s="314" t="s">
        <v>438</v>
      </c>
      <c r="E7" s="314"/>
    </row>
    <row r="8" spans="1:8" ht="58.2" thickBot="1" x14ac:dyDescent="0.35">
      <c r="A8" s="375"/>
      <c r="B8" s="377"/>
      <c r="C8" s="391"/>
      <c r="D8" s="305" t="s">
        <v>497</v>
      </c>
      <c r="E8" s="316" t="s">
        <v>215</v>
      </c>
    </row>
    <row r="9" spans="1:8" ht="30.6" thickBot="1" x14ac:dyDescent="0.35">
      <c r="A9" s="317" t="s">
        <v>366</v>
      </c>
      <c r="B9" s="317" t="s">
        <v>367</v>
      </c>
      <c r="C9" s="318"/>
      <c r="D9" s="311"/>
      <c r="E9" s="311"/>
    </row>
    <row r="10" spans="1:8" ht="63" customHeight="1" thickBot="1" x14ac:dyDescent="0.35">
      <c r="A10" s="317" t="s">
        <v>368</v>
      </c>
      <c r="B10" s="317" t="s">
        <v>439</v>
      </c>
      <c r="C10" s="319" t="s">
        <v>369</v>
      </c>
      <c r="D10" s="311" t="s">
        <v>445</v>
      </c>
      <c r="E10" s="319"/>
    </row>
    <row r="11" spans="1:8" ht="46.2" customHeight="1" thickBot="1" x14ac:dyDescent="0.35">
      <c r="A11" s="320" t="s">
        <v>370</v>
      </c>
      <c r="B11" s="320" t="s">
        <v>371</v>
      </c>
      <c r="C11" s="321"/>
      <c r="D11" s="314"/>
      <c r="E11" s="314"/>
    </row>
    <row r="12" spans="1:8" ht="77.400000000000006" customHeight="1" thickBot="1" x14ac:dyDescent="0.35">
      <c r="A12" s="317" t="s">
        <v>375</v>
      </c>
      <c r="B12" s="317" t="s">
        <v>441</v>
      </c>
      <c r="C12" s="322" t="s">
        <v>377</v>
      </c>
      <c r="D12" s="310" t="s">
        <v>442</v>
      </c>
      <c r="E12" s="312" t="s">
        <v>376</v>
      </c>
    </row>
    <row r="13" spans="1:8" ht="43.8" thickBot="1" x14ac:dyDescent="0.35">
      <c r="A13" s="317" t="s">
        <v>378</v>
      </c>
      <c r="B13" s="317" t="s">
        <v>443</v>
      </c>
      <c r="C13" s="311"/>
      <c r="D13" s="310" t="s">
        <v>452</v>
      </c>
      <c r="E13" s="319" t="s">
        <v>444</v>
      </c>
      <c r="F13" s="302"/>
    </row>
    <row r="14" spans="1:8" ht="29.4" thickBot="1" x14ac:dyDescent="0.35">
      <c r="A14" s="317" t="s">
        <v>379</v>
      </c>
      <c r="B14" s="317" t="s">
        <v>382</v>
      </c>
      <c r="C14" s="318"/>
      <c r="D14" s="310" t="s">
        <v>446</v>
      </c>
      <c r="E14" s="311"/>
    </row>
    <row r="15" spans="1:8" ht="43.8" thickBot="1" x14ac:dyDescent="0.35">
      <c r="A15" s="317" t="s">
        <v>380</v>
      </c>
      <c r="B15" s="317" t="s">
        <v>383</v>
      </c>
      <c r="C15" s="318"/>
      <c r="D15" s="310" t="s">
        <v>447</v>
      </c>
      <c r="E15" s="311"/>
    </row>
    <row r="16" spans="1:8" ht="29.4" thickBot="1" x14ac:dyDescent="0.35">
      <c r="A16" s="320" t="s">
        <v>381</v>
      </c>
      <c r="B16" s="313" t="s">
        <v>384</v>
      </c>
      <c r="C16" s="321"/>
      <c r="D16" s="313" t="s">
        <v>447</v>
      </c>
      <c r="E16" s="314"/>
    </row>
    <row r="17" spans="1:15" ht="43.2" x14ac:dyDescent="0.3">
      <c r="A17" s="374" t="s">
        <v>372</v>
      </c>
      <c r="B17" s="376" t="s">
        <v>390</v>
      </c>
      <c r="C17" s="378" t="s">
        <v>151</v>
      </c>
      <c r="D17" s="313" t="s">
        <v>450</v>
      </c>
      <c r="E17" s="315" t="s">
        <v>449</v>
      </c>
    </row>
    <row r="18" spans="1:15" ht="43.8" thickBot="1" x14ac:dyDescent="0.35">
      <c r="A18" s="375"/>
      <c r="B18" s="377"/>
      <c r="C18" s="379"/>
      <c r="D18" s="305" t="s">
        <v>451</v>
      </c>
      <c r="E18" s="309" t="s">
        <v>448</v>
      </c>
    </row>
    <row r="19" spans="1:15" ht="58.2" thickBot="1" x14ac:dyDescent="0.35">
      <c r="A19" s="317" t="s">
        <v>391</v>
      </c>
      <c r="B19" s="317" t="s">
        <v>392</v>
      </c>
      <c r="C19" s="322"/>
      <c r="D19" s="311" t="s">
        <v>393</v>
      </c>
      <c r="E19" s="311"/>
      <c r="O19" s="2"/>
    </row>
    <row r="20" spans="1:15" ht="58.2" thickBot="1" x14ac:dyDescent="0.35">
      <c r="A20" s="392" t="s">
        <v>388</v>
      </c>
      <c r="B20" s="342" t="s">
        <v>508</v>
      </c>
      <c r="C20" s="341"/>
      <c r="D20" s="313" t="s">
        <v>498</v>
      </c>
      <c r="E20" s="315" t="s">
        <v>456</v>
      </c>
    </row>
    <row r="21" spans="1:15" ht="57.6" x14ac:dyDescent="0.3">
      <c r="A21" s="380" t="s">
        <v>389</v>
      </c>
      <c r="B21" s="383" t="s">
        <v>509</v>
      </c>
      <c r="C21" s="386"/>
      <c r="D21" s="343" t="s">
        <v>498</v>
      </c>
      <c r="E21" s="340" t="s">
        <v>151</v>
      </c>
      <c r="F21" s="7"/>
    </row>
    <row r="22" spans="1:15" x14ac:dyDescent="0.3">
      <c r="A22" s="381"/>
      <c r="B22" s="384"/>
      <c r="C22" s="387"/>
      <c r="D22" s="348" t="s">
        <v>519</v>
      </c>
      <c r="E22" s="349"/>
      <c r="F22" s="7"/>
    </row>
    <row r="23" spans="1:15" ht="43.8" thickBot="1" x14ac:dyDescent="0.35">
      <c r="A23" s="382"/>
      <c r="B23" s="385"/>
      <c r="C23" s="388"/>
      <c r="D23" s="344" t="s">
        <v>520</v>
      </c>
      <c r="E23" s="309" t="s">
        <v>457</v>
      </c>
      <c r="F23" s="7"/>
    </row>
    <row r="24" spans="1:15" ht="60.6" customHeight="1" thickBot="1" x14ac:dyDescent="0.35">
      <c r="A24" s="320" t="s">
        <v>346</v>
      </c>
      <c r="B24" s="320" t="s">
        <v>347</v>
      </c>
      <c r="C24" s="314"/>
      <c r="D24" s="313" t="s">
        <v>458</v>
      </c>
      <c r="E24" s="323" t="s">
        <v>348</v>
      </c>
    </row>
    <row r="25" spans="1:15" ht="29.4" thickBot="1" x14ac:dyDescent="0.35">
      <c r="A25" s="317" t="s">
        <v>349</v>
      </c>
      <c r="B25" s="317" t="s">
        <v>350</v>
      </c>
      <c r="C25" s="318"/>
      <c r="D25" s="310" t="s">
        <v>357</v>
      </c>
      <c r="E25" s="311"/>
    </row>
    <row r="26" spans="1:15" ht="59.4" thickBot="1" x14ac:dyDescent="0.35">
      <c r="A26" s="317" t="s">
        <v>351</v>
      </c>
      <c r="B26" s="310" t="s">
        <v>358</v>
      </c>
      <c r="C26" s="318"/>
      <c r="D26" s="311" t="s">
        <v>356</v>
      </c>
      <c r="E26" s="311"/>
    </row>
    <row r="27" spans="1:15" ht="30.6" thickBot="1" x14ac:dyDescent="0.35">
      <c r="A27" s="317" t="s">
        <v>353</v>
      </c>
      <c r="B27" s="310" t="s">
        <v>511</v>
      </c>
      <c r="C27" s="318"/>
      <c r="D27" s="311" t="s">
        <v>356</v>
      </c>
      <c r="E27" s="311"/>
    </row>
    <row r="28" spans="1:15" ht="54.6" customHeight="1" thickBot="1" x14ac:dyDescent="0.35">
      <c r="A28" s="317" t="s">
        <v>354</v>
      </c>
      <c r="B28" s="310" t="s">
        <v>359</v>
      </c>
      <c r="C28" s="318"/>
      <c r="D28" s="311"/>
      <c r="E28" s="311"/>
    </row>
    <row r="29" spans="1:15" ht="16.2" thickBot="1" x14ac:dyDescent="0.35">
      <c r="A29" s="317" t="s">
        <v>355</v>
      </c>
      <c r="B29" s="310" t="s">
        <v>360</v>
      </c>
      <c r="C29" s="318"/>
      <c r="D29" s="311"/>
      <c r="E29" s="311"/>
    </row>
    <row r="30" spans="1:15" ht="48.6" customHeight="1" thickBot="1" x14ac:dyDescent="0.35">
      <c r="A30" s="317" t="s">
        <v>404</v>
      </c>
      <c r="B30" s="310" t="s">
        <v>459</v>
      </c>
      <c r="C30" s="318" t="s">
        <v>460</v>
      </c>
      <c r="D30" s="311"/>
      <c r="E30" s="311"/>
    </row>
    <row r="31" spans="1:15" ht="96.6" customHeight="1" thickBot="1" x14ac:dyDescent="0.35">
      <c r="A31" s="320" t="s">
        <v>361</v>
      </c>
      <c r="B31" s="313" t="s">
        <v>471</v>
      </c>
      <c r="C31" s="321"/>
      <c r="D31" s="313" t="s">
        <v>518</v>
      </c>
      <c r="E31" s="314"/>
    </row>
    <row r="32" spans="1:15" ht="86.4" customHeight="1" x14ac:dyDescent="0.3">
      <c r="A32" s="374" t="s">
        <v>103</v>
      </c>
      <c r="B32" s="374" t="s">
        <v>514</v>
      </c>
      <c r="C32" s="372"/>
      <c r="D32" s="313" t="s">
        <v>468</v>
      </c>
      <c r="E32" s="315" t="s">
        <v>251</v>
      </c>
    </row>
    <row r="33" spans="1:5" ht="58.2" thickBot="1" x14ac:dyDescent="0.35">
      <c r="A33" s="375"/>
      <c r="B33" s="375"/>
      <c r="C33" s="373"/>
      <c r="D33" s="305" t="s">
        <v>513</v>
      </c>
      <c r="E33" s="309" t="s">
        <v>120</v>
      </c>
    </row>
    <row r="34" spans="1:5" ht="65.400000000000006" customHeight="1" thickBot="1" x14ac:dyDescent="0.35">
      <c r="A34" s="310" t="s">
        <v>252</v>
      </c>
      <c r="B34" s="310" t="s">
        <v>470</v>
      </c>
      <c r="C34" s="319"/>
      <c r="D34" s="310" t="s">
        <v>513</v>
      </c>
      <c r="E34" s="312" t="s">
        <v>120</v>
      </c>
    </row>
    <row r="35" spans="1:5" ht="58.2" thickBot="1" x14ac:dyDescent="0.35">
      <c r="A35" s="310" t="s">
        <v>261</v>
      </c>
      <c r="B35" s="310" t="s">
        <v>469</v>
      </c>
      <c r="C35" s="319"/>
      <c r="D35" s="310" t="s">
        <v>513</v>
      </c>
      <c r="E35" s="312" t="s">
        <v>120</v>
      </c>
    </row>
    <row r="36" spans="1:5" ht="29.4" thickBot="1" x14ac:dyDescent="0.35">
      <c r="A36" s="304" t="s">
        <v>324</v>
      </c>
      <c r="B36" s="304" t="s">
        <v>399</v>
      </c>
      <c r="C36" s="307"/>
      <c r="D36" s="304" t="s">
        <v>461</v>
      </c>
      <c r="E36" s="308" t="s">
        <v>398</v>
      </c>
    </row>
    <row r="37" spans="1:5" ht="136.19999999999999" thickBot="1" x14ac:dyDescent="0.35">
      <c r="A37" s="310" t="s">
        <v>364</v>
      </c>
      <c r="B37" s="310" t="s">
        <v>496</v>
      </c>
      <c r="C37" s="319"/>
      <c r="D37" s="310" t="s">
        <v>467</v>
      </c>
      <c r="E37" s="311"/>
    </row>
    <row r="38" spans="1:5" ht="75" thickBot="1" x14ac:dyDescent="0.35">
      <c r="A38" s="313" t="s">
        <v>337</v>
      </c>
      <c r="B38" s="313" t="s">
        <v>466</v>
      </c>
      <c r="C38" s="323"/>
      <c r="D38" s="313" t="s">
        <v>464</v>
      </c>
      <c r="E38" s="314"/>
    </row>
    <row r="39" spans="1:5" ht="119.4" thickBot="1" x14ac:dyDescent="0.35">
      <c r="A39" s="310" t="s">
        <v>396</v>
      </c>
      <c r="B39" s="310" t="s">
        <v>394</v>
      </c>
      <c r="C39" s="311"/>
      <c r="D39" s="310" t="s">
        <v>462</v>
      </c>
      <c r="E39" s="311"/>
    </row>
    <row r="40" spans="1:5" ht="45" thickBot="1" x14ac:dyDescent="0.35">
      <c r="A40" s="310" t="s">
        <v>395</v>
      </c>
      <c r="B40" s="310" t="s">
        <v>465</v>
      </c>
      <c r="C40" s="311"/>
      <c r="D40" s="310" t="s">
        <v>463</v>
      </c>
      <c r="E40" s="311"/>
    </row>
    <row r="41" spans="1:5" ht="29.4" thickBot="1" x14ac:dyDescent="0.35">
      <c r="A41" s="310" t="s">
        <v>211</v>
      </c>
      <c r="B41" s="310" t="s">
        <v>397</v>
      </c>
      <c r="C41" s="311"/>
      <c r="D41" s="311"/>
      <c r="E41" s="311"/>
    </row>
    <row r="42" spans="1:5" ht="58.2" customHeight="1" thickBot="1" x14ac:dyDescent="0.35">
      <c r="A42" s="310" t="s">
        <v>212</v>
      </c>
      <c r="B42" s="317" t="s">
        <v>387</v>
      </c>
      <c r="C42" s="324"/>
      <c r="D42" s="310" t="s">
        <v>458</v>
      </c>
      <c r="E42" s="312" t="s">
        <v>386</v>
      </c>
    </row>
    <row r="43" spans="1:5" x14ac:dyDescent="0.3">
      <c r="B43" s="2"/>
      <c r="C43" s="2"/>
    </row>
    <row r="44" spans="1:5" x14ac:dyDescent="0.3">
      <c r="B44" s="2"/>
      <c r="C44" s="2"/>
    </row>
    <row r="45" spans="1:5" x14ac:dyDescent="0.3">
      <c r="C45" s="2"/>
    </row>
    <row r="46" spans="1:5" x14ac:dyDescent="0.3">
      <c r="B46" s="2"/>
      <c r="C46" s="2"/>
    </row>
    <row r="47" spans="1:5" x14ac:dyDescent="0.3">
      <c r="B47" s="2"/>
      <c r="C47" s="2"/>
    </row>
    <row r="48" spans="1:5" x14ac:dyDescent="0.3">
      <c r="B48" s="2"/>
      <c r="C48" s="2"/>
    </row>
    <row r="49" spans="1:3" x14ac:dyDescent="0.3">
      <c r="B49" s="2"/>
      <c r="C49" s="2"/>
    </row>
    <row r="50" spans="1:3" x14ac:dyDescent="0.3">
      <c r="B50" s="2"/>
      <c r="C50" s="2"/>
    </row>
    <row r="51" spans="1:3" x14ac:dyDescent="0.3">
      <c r="B51" s="2"/>
      <c r="C51" s="2"/>
    </row>
    <row r="52" spans="1:3" x14ac:dyDescent="0.3">
      <c r="B52" s="2"/>
      <c r="C52" s="2"/>
    </row>
    <row r="53" spans="1:3" hidden="1" x14ac:dyDescent="0.3">
      <c r="A53" t="s">
        <v>154</v>
      </c>
      <c r="B53" s="2"/>
      <c r="C53" s="2"/>
    </row>
    <row r="54" spans="1:3" x14ac:dyDescent="0.3">
      <c r="B54" s="2"/>
      <c r="C54" s="2"/>
    </row>
    <row r="55" spans="1:3" x14ac:dyDescent="0.3">
      <c r="B55" s="2"/>
      <c r="C55" s="2"/>
    </row>
    <row r="56" spans="1:3" x14ac:dyDescent="0.3">
      <c r="B56" s="2"/>
      <c r="C56" s="2"/>
    </row>
    <row r="58" spans="1:3" x14ac:dyDescent="0.3">
      <c r="A58" s="2"/>
    </row>
    <row r="70" spans="34:35" x14ac:dyDescent="0.3">
      <c r="AI70" s="13"/>
    </row>
    <row r="75" spans="34:35" x14ac:dyDescent="0.3">
      <c r="AH75" s="8"/>
    </row>
    <row r="77" spans="34:35" x14ac:dyDescent="0.3">
      <c r="AH77" s="8"/>
    </row>
  </sheetData>
  <mergeCells count="14">
    <mergeCell ref="A5:A6"/>
    <mergeCell ref="B5:B6"/>
    <mergeCell ref="B7:B8"/>
    <mergeCell ref="C7:C8"/>
    <mergeCell ref="A7:A8"/>
    <mergeCell ref="C32:C33"/>
    <mergeCell ref="B32:B33"/>
    <mergeCell ref="A32:A33"/>
    <mergeCell ref="B17:B18"/>
    <mergeCell ref="A17:A18"/>
    <mergeCell ref="C17:C18"/>
    <mergeCell ref="A21:A23"/>
    <mergeCell ref="B21:B23"/>
    <mergeCell ref="C21:C23"/>
  </mergeCells>
  <hyperlinks>
    <hyperlink ref="E3" r:id="rId1" xr:uid="{91053DE9-1D9B-40CE-89D9-CD4B5E40CB38}"/>
    <hyperlink ref="E5" r:id="rId2" xr:uid="{0B9D5631-FDCE-4B99-BF50-1A02E668F47C}"/>
    <hyperlink ref="E32" r:id="rId3" xr:uid="{E5981A6D-A063-4FF3-B3F9-BAA0BA1757AB}"/>
    <hyperlink ref="E34" r:id="rId4" xr:uid="{1427D403-D977-4B04-9377-5C7A28ACD2C8}"/>
    <hyperlink ref="E35" r:id="rId5" xr:uid="{58646B8D-E309-45DC-B74C-7AE24B10CE9B}"/>
    <hyperlink ref="E2" r:id="rId6" xr:uid="{4C306718-DF25-4441-9E44-EA28ECF9867D}"/>
    <hyperlink ref="E4" r:id="rId7" xr:uid="{C9066858-456D-4704-98B5-2D7907C3768D}"/>
    <hyperlink ref="E24" r:id="rId8" xr:uid="{2103742B-9247-4825-9528-6D99986891A4}"/>
    <hyperlink ref="C7" r:id="rId9" xr:uid="{D3BC00CA-3293-4CA6-B27F-606304A39749}"/>
    <hyperlink ref="E6" r:id="rId10" xr:uid="{5DACDC97-FB15-474E-B56A-F2D4F0AD19A1}"/>
    <hyperlink ref="E12" r:id="rId11" xr:uid="{03128248-3EAE-42D6-A8BC-890055BF70C0}"/>
    <hyperlink ref="C12" r:id="rId12" xr:uid="{5DDFBB50-DD6E-4FDD-BD58-83C34F6D795B}"/>
    <hyperlink ref="C17" r:id="rId13" xr:uid="{CB1A8223-F3AC-44A2-B221-D3138A826148}"/>
    <hyperlink ref="E20" r:id="rId14" xr:uid="{AE3AF341-2C7A-4438-994C-8A3E7B44AAE3}"/>
    <hyperlink ref="E21" r:id="rId15" xr:uid="{9649F7E5-5863-4581-826A-32ABE685C6F2}"/>
    <hyperlink ref="E36" r:id="rId16" xr:uid="{F3E4CF72-8D1E-4ED0-9E3A-51C4187CBB94}"/>
    <hyperlink ref="E8" r:id="rId17" xr:uid="{12DDC15C-F661-4ADC-88B4-F55B5D284199}"/>
    <hyperlink ref="C10" r:id="rId18" xr:uid="{BECE41B4-B04A-4DA8-868B-86F6B19A7C94}"/>
    <hyperlink ref="E13" r:id="rId19" xr:uid="{F2C98CA8-3B5C-4835-93EF-0F2DC8798FBF}"/>
    <hyperlink ref="E18" r:id="rId20" xr:uid="{6092B32E-3B14-4AB0-9547-BC4302B1EC8D}"/>
    <hyperlink ref="E17" r:id="rId21" xr:uid="{B4424E9A-B0B1-4AAB-AD13-0514AD3D2446}"/>
    <hyperlink ref="E42" r:id="rId22" xr:uid="{46F91C84-8C23-4D11-B032-19609DB985CB}"/>
    <hyperlink ref="E33" r:id="rId23" xr:uid="{4BEE25C6-F0F0-4674-AD3A-251ECA504D8D}"/>
    <hyperlink ref="E23" r:id="rId24" xr:uid="{EF7C8F9C-3AC9-444D-B90E-204909F25F26}"/>
  </hyperlinks>
  <pageMargins left="0.7" right="0.7" top="0.78740157499999996" bottom="0.78740157499999996" header="0.3" footer="0.3"/>
  <pageSetup paperSize="9" orientation="portrait" r:id="rId25"/>
  <drawing r:id="rId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D518D-6653-45C0-A3A0-53AD31A9D0F3}">
  <dimension ref="A1:J108"/>
  <sheetViews>
    <sheetView topLeftCell="A49" workbookViewId="0">
      <selection activeCell="F6" sqref="F6"/>
    </sheetView>
  </sheetViews>
  <sheetFormatPr baseColWidth="10" defaultColWidth="10.77734375" defaultRowHeight="14.4" x14ac:dyDescent="0.3"/>
  <sheetData>
    <row r="1" spans="1:5" x14ac:dyDescent="0.3">
      <c r="A1" t="s">
        <v>29</v>
      </c>
      <c r="B1" t="s">
        <v>32</v>
      </c>
    </row>
    <row r="2" spans="1:5" ht="15.6" x14ac:dyDescent="0.35">
      <c r="A2" s="3" t="s">
        <v>30</v>
      </c>
      <c r="B2" t="s">
        <v>33</v>
      </c>
    </row>
    <row r="3" spans="1:5" x14ac:dyDescent="0.3">
      <c r="A3" t="s">
        <v>31</v>
      </c>
      <c r="B3" t="s">
        <v>34</v>
      </c>
    </row>
    <row r="4" spans="1:5" ht="15.6" x14ac:dyDescent="0.35">
      <c r="A4" t="s">
        <v>35</v>
      </c>
      <c r="B4" t="s">
        <v>38</v>
      </c>
    </row>
    <row r="6" spans="1:5" ht="16.8" x14ac:dyDescent="0.35">
      <c r="A6" t="s">
        <v>37</v>
      </c>
      <c r="C6" t="s">
        <v>36</v>
      </c>
    </row>
    <row r="8" spans="1:5" ht="16.2" x14ac:dyDescent="0.3">
      <c r="A8" t="s">
        <v>39</v>
      </c>
    </row>
    <row r="9" spans="1:5" x14ac:dyDescent="0.3">
      <c r="A9" t="s">
        <v>40</v>
      </c>
      <c r="B9" s="4">
        <v>3.7</v>
      </c>
    </row>
    <row r="12" spans="1:5" x14ac:dyDescent="0.3">
      <c r="A12" t="s">
        <v>29</v>
      </c>
      <c r="B12">
        <v>1.2250000000000001</v>
      </c>
    </row>
    <row r="13" spans="1:5" x14ac:dyDescent="0.3">
      <c r="A13" t="s">
        <v>31</v>
      </c>
      <c r="B13" s="4">
        <f>PI()*(B9^2)/4</f>
        <v>10.752100856911069</v>
      </c>
    </row>
    <row r="14" spans="1:5" ht="15.6" x14ac:dyDescent="0.35">
      <c r="A14" s="3" t="s">
        <v>30</v>
      </c>
      <c r="B14" s="4">
        <v>9</v>
      </c>
      <c r="E14" t="s">
        <v>137</v>
      </c>
    </row>
    <row r="15" spans="1:5" x14ac:dyDescent="0.3">
      <c r="E15" t="s">
        <v>138</v>
      </c>
    </row>
    <row r="16" spans="1:5" ht="15.6" x14ac:dyDescent="0.35">
      <c r="A16" t="s">
        <v>35</v>
      </c>
      <c r="B16">
        <f>0.5*B12*B13*(B14)^3</f>
        <v>4800.9474338715036</v>
      </c>
    </row>
    <row r="18" spans="1:10" x14ac:dyDescent="0.3">
      <c r="I18" t="s">
        <v>135</v>
      </c>
      <c r="J18" t="s">
        <v>136</v>
      </c>
    </row>
    <row r="30" spans="1:10" x14ac:dyDescent="0.3">
      <c r="A30" t="s">
        <v>139</v>
      </c>
    </row>
    <row r="34" spans="10:10" x14ac:dyDescent="0.3">
      <c r="J34" t="s">
        <v>140</v>
      </c>
    </row>
    <row r="70" spans="10:10" x14ac:dyDescent="0.3">
      <c r="J70" t="s">
        <v>141</v>
      </c>
    </row>
    <row r="108" spans="10:10" x14ac:dyDescent="0.3">
      <c r="J108" t="s">
        <v>142</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0B29-DD91-4792-B0DE-E91BECC01424}">
  <dimension ref="A1:N71"/>
  <sheetViews>
    <sheetView topLeftCell="A91" zoomScaleNormal="100" workbookViewId="0">
      <selection activeCell="E120" sqref="E120"/>
    </sheetView>
  </sheetViews>
  <sheetFormatPr baseColWidth="10" defaultColWidth="10.77734375" defaultRowHeight="14.4" x14ac:dyDescent="0.3"/>
  <sheetData>
    <row r="1" spans="1:8" x14ac:dyDescent="0.3">
      <c r="A1" s="2" t="s">
        <v>121</v>
      </c>
    </row>
    <row r="3" spans="1:8" x14ac:dyDescent="0.3">
      <c r="H3" t="s">
        <v>0</v>
      </c>
    </row>
    <row r="10" spans="1:8" x14ac:dyDescent="0.3">
      <c r="A10" t="s">
        <v>5</v>
      </c>
    </row>
    <row r="11" spans="1:8" x14ac:dyDescent="0.3">
      <c r="A11" t="s">
        <v>7</v>
      </c>
    </row>
    <row r="12" spans="1:8" x14ac:dyDescent="0.3">
      <c r="A12" t="s">
        <v>6</v>
      </c>
    </row>
    <row r="14" spans="1:8" x14ac:dyDescent="0.3">
      <c r="A14" t="s">
        <v>8</v>
      </c>
    </row>
    <row r="15" spans="1:8" x14ac:dyDescent="0.3">
      <c r="A15" t="s">
        <v>65</v>
      </c>
    </row>
    <row r="16" spans="1:8" x14ac:dyDescent="0.3">
      <c r="A16" t="s">
        <v>9</v>
      </c>
    </row>
    <row r="17" spans="1:8" x14ac:dyDescent="0.3">
      <c r="A17" t="s">
        <v>10</v>
      </c>
    </row>
    <row r="19" spans="1:8" x14ac:dyDescent="0.3">
      <c r="H19" s="1" t="s">
        <v>11</v>
      </c>
    </row>
    <row r="20" spans="1:8" x14ac:dyDescent="0.3">
      <c r="H20" s="1" t="s">
        <v>12</v>
      </c>
    </row>
    <row r="21" spans="1:8" x14ac:dyDescent="0.3">
      <c r="H21" s="1" t="s">
        <v>13</v>
      </c>
    </row>
    <row r="22" spans="1:8" x14ac:dyDescent="0.3">
      <c r="H22" s="1" t="s">
        <v>14</v>
      </c>
    </row>
    <row r="23" spans="1:8" x14ac:dyDescent="0.3">
      <c r="H23" s="1" t="s">
        <v>15</v>
      </c>
    </row>
    <row r="28" spans="1:8" x14ac:dyDescent="0.3">
      <c r="A28" t="s">
        <v>59</v>
      </c>
    </row>
    <row r="29" spans="1:8" x14ac:dyDescent="0.3">
      <c r="A29" s="2" t="s">
        <v>58</v>
      </c>
    </row>
    <row r="48" spans="14:14" x14ac:dyDescent="0.3">
      <c r="N48" t="s">
        <v>58</v>
      </c>
    </row>
    <row r="59" spans="14:14" x14ac:dyDescent="0.3">
      <c r="N59" t="s">
        <v>118</v>
      </c>
    </row>
    <row r="60" spans="14:14" x14ac:dyDescent="0.3">
      <c r="N60" s="2" t="s">
        <v>119</v>
      </c>
    </row>
    <row r="68" spans="1:11" x14ac:dyDescent="0.3">
      <c r="A68" t="s">
        <v>60</v>
      </c>
      <c r="K68" t="s">
        <v>61</v>
      </c>
    </row>
    <row r="69" spans="1:11" x14ac:dyDescent="0.3">
      <c r="K69" t="s">
        <v>62</v>
      </c>
    </row>
    <row r="70" spans="1:11" x14ac:dyDescent="0.3">
      <c r="K70" t="s">
        <v>63</v>
      </c>
    </row>
    <row r="71" spans="1:11" x14ac:dyDescent="0.3">
      <c r="K71" t="s">
        <v>64</v>
      </c>
    </row>
  </sheetData>
  <hyperlinks>
    <hyperlink ref="A29" r:id="rId1" xr:uid="{5B5179FA-54C3-49B4-B2CC-B673002ACE73}"/>
    <hyperlink ref="A1" r:id="rId2" xr:uid="{369BC959-D2FB-4CE3-B67F-375F24F37EE1}"/>
    <hyperlink ref="N60" r:id="rId3" xr:uid="{13E192F4-9508-452F-9B4B-0EE8BD7958FF}"/>
  </hyperlinks>
  <pageMargins left="0.7" right="0.7" top="0.78740157499999996" bottom="0.78740157499999996" header="0.3" footer="0.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D3AB8C8D4EE6B489034AC630A44759B" ma:contentTypeVersion="5" ma:contentTypeDescription="Ein neues Dokument erstellen." ma:contentTypeScope="" ma:versionID="894f4b6924f26ce3c5bd3affab9ae9e2">
  <xsd:schema xmlns:xsd="http://www.w3.org/2001/XMLSchema" xmlns:xs="http://www.w3.org/2001/XMLSchema" xmlns:p="http://schemas.microsoft.com/office/2006/metadata/properties" xmlns:ns3="a5611555-702f-4499-bd07-f9c8a2fa0c04" targetNamespace="http://schemas.microsoft.com/office/2006/metadata/properties" ma:root="true" ma:fieldsID="783fd8a064719f92aa6cf59549f59a22" ns3:_="">
    <xsd:import namespace="a5611555-702f-4499-bd07-f9c8a2fa0c0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611555-702f-4499-bd07-f9c8a2fa0c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2F24C7-C373-4FAB-AF4C-9F12C13AD99C}">
  <ds:schemaRef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a5611555-702f-4499-bd07-f9c8a2fa0c04"/>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87DD6AD6-E7AF-4E93-8263-A6BFE5B6DEA9}">
  <ds:schemaRefs>
    <ds:schemaRef ds:uri="http://schemas.microsoft.com/office/2006/metadata/contentType"/>
    <ds:schemaRef ds:uri="http://schemas.microsoft.com/office/2006/metadata/properties/metaAttributes"/>
    <ds:schemaRef ds:uri="http://www.w3.org/2000/xmlns/"/>
    <ds:schemaRef ds:uri="http://www.w3.org/2001/XMLSchema"/>
    <ds:schemaRef ds:uri="a5611555-702f-4499-bd07-f9c8a2fa0c04"/>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1176DD-A740-41F6-A9F2-07494D1DFE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7</vt:i4>
      </vt:variant>
    </vt:vector>
  </HeadingPairs>
  <TitlesOfParts>
    <vt:vector size="19" baseType="lpstr">
      <vt:lpstr>1_Cockpit</vt:lpstr>
      <vt:lpstr>2_Windkarte</vt:lpstr>
      <vt:lpstr>3_Checkliste_Windmessung</vt:lpstr>
      <vt:lpstr>4_Windgeschwindigkeit Rotorhöhe</vt:lpstr>
      <vt:lpstr>5_Ertrag</vt:lpstr>
      <vt:lpstr>6_Wirtschaftlichkeitsrechung</vt:lpstr>
      <vt:lpstr>7_Erläuterungen_Hinweise</vt:lpstr>
      <vt:lpstr>Tabelle4</vt:lpstr>
      <vt:lpstr>Tabelle1</vt:lpstr>
      <vt:lpstr>Checkliste</vt:lpstr>
      <vt:lpstr>DropDown</vt:lpstr>
      <vt:lpstr>Tabelle3</vt:lpstr>
      <vt:lpstr>Basis_der_Winddaten</vt:lpstr>
      <vt:lpstr>Daten_Kosten_der_Windkraftanlage</vt:lpstr>
      <vt:lpstr>Daten_Stromkosten_Stromverbrauch</vt:lpstr>
      <vt:lpstr>Haushaltsgröße</vt:lpstr>
      <vt:lpstr>Nennleistung</vt:lpstr>
      <vt:lpstr>Rauhigkeitslängen</vt:lpstr>
      <vt:lpstr>Strompreis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dc:creator>
  <cp:lastModifiedBy>JP</cp:lastModifiedBy>
  <dcterms:created xsi:type="dcterms:W3CDTF">2019-10-27T09:42:44Z</dcterms:created>
  <dcterms:modified xsi:type="dcterms:W3CDTF">2019-12-28T15:19:51Z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0x0101003D3AB8C8D4EE6B489034AC630A44759B</vt:lpwstr>
  </property>
  <property fmtid="{D5CDD505-2E9C-101B-9397-08002B2CF9AE}" pid="3" name="dofficeID">
    <vt:lpwstr>{C323241F-D53F-4B43-8EB8-ACCB2E947A81}</vt:lpwstr>
  </property>
</Properties>
</file>